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20103063_Mieterticket_Bayern\AP8_Berichte\K-N-Tool_final\"/>
    </mc:Choice>
  </mc:AlternateContent>
  <workbookProtection workbookPassword="EF29" lockStructure="1"/>
  <bookViews>
    <workbookView xWindow="120" yWindow="135" windowWidth="19425" windowHeight="11025" tabRatio="749"/>
  </bookViews>
  <sheets>
    <sheet name="Mobilität im Quartier" sheetId="20" r:id="rId1"/>
    <sheet name="Eingaben" sheetId="1" r:id="rId2"/>
    <sheet name="K-N-Ergebnis" sheetId="18" r:id="rId3"/>
    <sheet name="K-N-Matrix" sheetId="4" r:id="rId4"/>
    <sheet name="K-N-Werte" sheetId="6" r:id="rId5"/>
    <sheet name="VerzStPl" sheetId="2" state="hidden" r:id="rId6"/>
    <sheet name="WohnFl" sheetId="5" state="hidden" r:id="rId7"/>
    <sheet name="GrünFl" sheetId="3" state="hidden" r:id="rId8"/>
    <sheet name="RadFl" sheetId="8" state="hidden" r:id="rId9"/>
    <sheet name="StraFl" sheetId="9" state="hidden" r:id="rId10"/>
    <sheet name="AbPkw" sheetId="10" state="hidden" r:id="rId11"/>
    <sheet name="ÖVInf" sheetId="11" state="hidden" r:id="rId12"/>
    <sheet name="Tickets" sheetId="12" state="hidden" r:id="rId13"/>
    <sheet name="CarS" sheetId="13" state="hidden" r:id="rId14"/>
    <sheet name="BikeS" sheetId="14" state="hidden" r:id="rId15"/>
    <sheet name="CargoS" sheetId="15" state="hidden" r:id="rId16"/>
    <sheet name="ELade" sheetId="16" state="hidden" r:id="rId17"/>
    <sheet name="Konzept" sheetId="19" state="hidden" r:id="rId18"/>
  </sheets>
  <definedNames>
    <definedName name="_xlnm._FilterDatabase" localSheetId="2" hidden="1">'K-N-Ergebnis'!$D$15:$Q$40</definedName>
    <definedName name="_xlnm.Print_Area" localSheetId="1">Eingaben!$C$3:$T$257</definedName>
    <definedName name="_xlnm.Print_Area" localSheetId="2">'K-N-Ergebnis'!$D$1:$O$41</definedName>
    <definedName name="_xlnm.Print_Area" localSheetId="3">'K-N-Matrix'!$D$1:$O$36</definedName>
    <definedName name="_xlnm.Print_Area" localSheetId="4">'K-N-Werte'!$D$1:$O$39</definedName>
    <definedName name="_xlnm.Print_Area" localSheetId="0">'Mobilität im Quartier'!$A$3:$K$50</definedName>
    <definedName name="_xlnm.Print_Titles" localSheetId="2">'K-N-Ergebnis'!$D:$E,'K-N-Ergebnis'!$5:$10</definedName>
    <definedName name="_xlnm.Print_Titles" localSheetId="3">'K-N-Matrix'!$D:$E,'K-N-Matrix'!$5:$10</definedName>
    <definedName name="_xlnm.Print_Titles" localSheetId="4">'K-N-Werte'!$D:$E,'K-N-Werte'!$5:$10</definedName>
  </definedNames>
  <calcPr calcId="162913"/>
</workbook>
</file>

<file path=xl/calcChain.xml><?xml version="1.0" encoding="utf-8"?>
<calcChain xmlns="http://schemas.openxmlformats.org/spreadsheetml/2006/main">
  <c r="O40" i="18" l="1"/>
  <c r="N40" i="18"/>
  <c r="M40" i="18"/>
  <c r="L40" i="18"/>
  <c r="K40" i="18"/>
  <c r="J40" i="18"/>
  <c r="I40" i="18"/>
  <c r="G40" i="18"/>
  <c r="K23" i="18"/>
  <c r="K20" i="18"/>
  <c r="C25" i="16" l="1"/>
  <c r="C23" i="16"/>
  <c r="C25" i="15"/>
  <c r="C23" i="15"/>
  <c r="C25" i="14"/>
  <c r="C23" i="14"/>
  <c r="C25" i="13" l="1"/>
  <c r="C23" i="13"/>
  <c r="D156" i="1" l="1"/>
  <c r="D154" i="1"/>
  <c r="D133" i="1"/>
  <c r="D131" i="1"/>
  <c r="D110" i="1"/>
  <c r="D108" i="1"/>
  <c r="D87" i="1"/>
  <c r="D85" i="1"/>
  <c r="C18" i="2" l="1"/>
  <c r="J26" i="2"/>
  <c r="J24" i="2"/>
  <c r="C20" i="2" l="1"/>
  <c r="M126" i="1"/>
  <c r="M149" i="1"/>
  <c r="O32" i="1"/>
  <c r="O37" i="1"/>
  <c r="O207" i="1"/>
  <c r="O194" i="1"/>
  <c r="D236" i="1"/>
  <c r="D255" i="1"/>
  <c r="D253" i="1"/>
  <c r="D57" i="1"/>
  <c r="D55" i="1"/>
  <c r="D251" i="1"/>
  <c r="D249" i="1"/>
  <c r="D247" i="1"/>
  <c r="D245" i="1"/>
  <c r="D243" i="1"/>
  <c r="D241" i="1"/>
  <c r="D239" i="1"/>
  <c r="D234" i="1"/>
  <c r="D203" i="1"/>
  <c r="D201" i="1"/>
  <c r="D199" i="1"/>
  <c r="M196" i="1"/>
  <c r="D195" i="1"/>
  <c r="D193" i="1"/>
  <c r="D225" i="1"/>
  <c r="D223" i="1"/>
  <c r="D216" i="1"/>
  <c r="D212" i="1"/>
  <c r="M209" i="1"/>
  <c r="D206" i="1"/>
  <c r="D186" i="1"/>
  <c r="D184" i="1"/>
  <c r="D182" i="1"/>
  <c r="D29" i="1"/>
  <c r="D25" i="1"/>
  <c r="D23" i="1"/>
  <c r="D20" i="1"/>
  <c r="F3" i="6"/>
  <c r="F3" i="4"/>
  <c r="F3" i="18"/>
  <c r="J18" i="2" l="1"/>
  <c r="D171" i="1"/>
  <c r="C20" i="19"/>
  <c r="M103" i="1"/>
  <c r="M80" i="1"/>
  <c r="M67" i="1"/>
  <c r="D68" i="1"/>
  <c r="M39" i="1"/>
  <c r="C27" i="11"/>
  <c r="C44" i="2"/>
  <c r="Q34" i="6" l="1"/>
  <c r="Q39" i="18" s="1"/>
  <c r="Q33" i="6"/>
  <c r="Q38" i="18" s="1"/>
  <c r="O39" i="18"/>
  <c r="N39" i="18"/>
  <c r="M39" i="18"/>
  <c r="L39" i="18"/>
  <c r="K39" i="18"/>
  <c r="J39" i="18"/>
  <c r="I39" i="18"/>
  <c r="H39" i="18"/>
  <c r="G39" i="18"/>
  <c r="F39" i="18"/>
  <c r="O38" i="18"/>
  <c r="N38" i="18"/>
  <c r="M38" i="18"/>
  <c r="L38" i="18"/>
  <c r="K38" i="18"/>
  <c r="J38" i="18"/>
  <c r="I38" i="18"/>
  <c r="H38" i="18"/>
  <c r="G38" i="18"/>
  <c r="F38" i="18"/>
  <c r="O37" i="18"/>
  <c r="N37" i="18"/>
  <c r="M37" i="18"/>
  <c r="K37" i="18"/>
  <c r="I37" i="18"/>
  <c r="G37" i="18"/>
  <c r="O36" i="18"/>
  <c r="N36" i="18"/>
  <c r="M36" i="18"/>
  <c r="K36" i="18"/>
  <c r="I36" i="18"/>
  <c r="O35" i="18"/>
  <c r="N35" i="18"/>
  <c r="M35" i="18"/>
  <c r="K35" i="18"/>
  <c r="I35" i="18"/>
  <c r="G35" i="18"/>
  <c r="O34" i="18"/>
  <c r="N34" i="18"/>
  <c r="M34" i="18"/>
  <c r="K34" i="18"/>
  <c r="I34" i="18"/>
  <c r="O33" i="18"/>
  <c r="N33" i="18"/>
  <c r="M33" i="18"/>
  <c r="K33" i="18"/>
  <c r="I33" i="18"/>
  <c r="G33" i="18"/>
  <c r="O32" i="18"/>
  <c r="N32" i="18"/>
  <c r="M32" i="18"/>
  <c r="K32" i="18"/>
  <c r="I32" i="18"/>
  <c r="O31" i="18"/>
  <c r="N31" i="18"/>
  <c r="M31" i="18"/>
  <c r="K31" i="18"/>
  <c r="I31" i="18"/>
  <c r="G31" i="18"/>
  <c r="O30" i="18"/>
  <c r="N30" i="18"/>
  <c r="M30" i="18"/>
  <c r="K30" i="18"/>
  <c r="I30" i="18"/>
  <c r="O29" i="18"/>
  <c r="N29" i="18"/>
  <c r="M29" i="18"/>
  <c r="L29" i="18"/>
  <c r="K29" i="18"/>
  <c r="I29" i="18"/>
  <c r="H29" i="18"/>
  <c r="G29" i="18"/>
  <c r="F29" i="18"/>
  <c r="O28" i="18"/>
  <c r="N28" i="18"/>
  <c r="M28" i="18"/>
  <c r="J28" i="18"/>
  <c r="I28" i="18"/>
  <c r="H28" i="18"/>
  <c r="O27" i="18"/>
  <c r="N27" i="18"/>
  <c r="M27" i="18"/>
  <c r="L27" i="18"/>
  <c r="I27" i="18"/>
  <c r="H27" i="18"/>
  <c r="G27" i="18"/>
  <c r="F27" i="18"/>
  <c r="O26" i="18"/>
  <c r="N26" i="18"/>
  <c r="M26" i="18"/>
  <c r="I26" i="18"/>
  <c r="F26" i="18"/>
  <c r="O25" i="18"/>
  <c r="N25" i="18"/>
  <c r="L25" i="18"/>
  <c r="K25" i="18"/>
  <c r="J25" i="18"/>
  <c r="I25" i="18"/>
  <c r="H25" i="18"/>
  <c r="G25" i="18"/>
  <c r="F25" i="18"/>
  <c r="O24" i="18"/>
  <c r="N24" i="18"/>
  <c r="K24" i="18"/>
  <c r="J24" i="18"/>
  <c r="I24" i="18"/>
  <c r="H24" i="18"/>
  <c r="G24" i="18"/>
  <c r="F24" i="18"/>
  <c r="O23" i="18"/>
  <c r="N23" i="18"/>
  <c r="M23" i="18"/>
  <c r="J23" i="18"/>
  <c r="G23" i="18"/>
  <c r="F23" i="18"/>
  <c r="O22" i="18"/>
  <c r="N22" i="18"/>
  <c r="M22" i="18"/>
  <c r="L22" i="18"/>
  <c r="K22" i="18"/>
  <c r="J22" i="18"/>
  <c r="I22" i="18"/>
  <c r="F22" i="18"/>
  <c r="O21" i="18"/>
  <c r="N21" i="18"/>
  <c r="M21" i="18"/>
  <c r="L21" i="18"/>
  <c r="K21" i="18"/>
  <c r="J21" i="18"/>
  <c r="I21" i="18"/>
  <c r="H21" i="18"/>
  <c r="G21" i="18"/>
  <c r="O20" i="18"/>
  <c r="N20" i="18"/>
  <c r="M20" i="18"/>
  <c r="J20" i="18"/>
  <c r="I20" i="18"/>
  <c r="H20" i="18"/>
  <c r="O19" i="18"/>
  <c r="N19" i="18"/>
  <c r="M19" i="18"/>
  <c r="K19" i="18"/>
  <c r="J19" i="18"/>
  <c r="I19" i="18"/>
  <c r="H19" i="18"/>
  <c r="O18" i="18"/>
  <c r="N18" i="18"/>
  <c r="L18" i="18"/>
  <c r="K18" i="18"/>
  <c r="J18" i="18"/>
  <c r="I18" i="18"/>
  <c r="H18" i="18"/>
  <c r="O17" i="18"/>
  <c r="N17" i="18"/>
  <c r="M17" i="18"/>
  <c r="K17" i="18"/>
  <c r="J17" i="18"/>
  <c r="I17" i="18"/>
  <c r="H17" i="18"/>
  <c r="O16" i="18"/>
  <c r="N16" i="18"/>
  <c r="L16" i="18"/>
  <c r="K16" i="18"/>
  <c r="J16" i="18"/>
  <c r="H16" i="18"/>
  <c r="O37" i="6"/>
  <c r="O12" i="18" s="1"/>
  <c r="N37" i="6"/>
  <c r="J14" i="2"/>
  <c r="D168" i="1"/>
  <c r="D158" i="1"/>
  <c r="D152" i="1"/>
  <c r="D148" i="1"/>
  <c r="D145" i="1"/>
  <c r="D135" i="1"/>
  <c r="D129" i="1"/>
  <c r="D125" i="1"/>
  <c r="D122" i="1"/>
  <c r="D112" i="1"/>
  <c r="D106" i="1"/>
  <c r="D102" i="1"/>
  <c r="D99" i="1"/>
  <c r="D89" i="1"/>
  <c r="D83" i="1"/>
  <c r="D79" i="1"/>
  <c r="D74" i="1"/>
  <c r="D66" i="1"/>
  <c r="D44" i="1"/>
  <c r="D42" i="1"/>
  <c r="D38" i="1"/>
  <c r="D36" i="1"/>
  <c r="C17" i="16"/>
  <c r="C39" i="16"/>
  <c r="C29" i="16"/>
  <c r="C27" i="16"/>
  <c r="C21" i="16"/>
  <c r="C19" i="16"/>
  <c r="C15" i="16"/>
  <c r="C39" i="15"/>
  <c r="C29" i="15"/>
  <c r="C27" i="15"/>
  <c r="C21" i="15"/>
  <c r="C19" i="15"/>
  <c r="C17" i="15"/>
  <c r="C15" i="15"/>
  <c r="C39" i="14"/>
  <c r="C29" i="14"/>
  <c r="C27" i="14"/>
  <c r="C21" i="14"/>
  <c r="C19" i="14"/>
  <c r="C17" i="14"/>
  <c r="C15" i="14"/>
  <c r="C39" i="13"/>
  <c r="C29" i="13"/>
  <c r="C27" i="13"/>
  <c r="C21" i="13"/>
  <c r="C19" i="13"/>
  <c r="C17" i="13"/>
  <c r="C15" i="13"/>
  <c r="O38" i="6" l="1"/>
  <c r="O13" i="18" s="1"/>
  <c r="J35" i="16"/>
  <c r="J25" i="16"/>
  <c r="J26" i="19"/>
  <c r="J36" i="19" s="1"/>
  <c r="J33" i="16"/>
  <c r="J25" i="14"/>
  <c r="J19" i="11"/>
  <c r="J35" i="14"/>
  <c r="J35" i="13"/>
  <c r="J33" i="14"/>
  <c r="J33" i="13"/>
  <c r="J23" i="16"/>
  <c r="J25" i="15"/>
  <c r="J35" i="15"/>
  <c r="J23" i="15"/>
  <c r="J33" i="15"/>
  <c r="J23" i="13"/>
  <c r="J23" i="14"/>
  <c r="J25" i="13"/>
  <c r="N38" i="6"/>
  <c r="N13" i="18" s="1"/>
  <c r="J28" i="19"/>
  <c r="J24" i="19"/>
  <c r="J42" i="2"/>
  <c r="J30" i="19"/>
  <c r="J22" i="19"/>
  <c r="J44" i="2"/>
  <c r="J20" i="19"/>
  <c r="J33" i="19" s="1"/>
  <c r="N12" i="18"/>
  <c r="J25" i="5"/>
  <c r="J15" i="10"/>
  <c r="J27" i="10"/>
  <c r="J31" i="11"/>
  <c r="J29" i="13"/>
  <c r="J21" i="14"/>
  <c r="J39" i="14"/>
  <c r="J37" i="15"/>
  <c r="J21" i="16"/>
  <c r="J37" i="16"/>
  <c r="J33" i="5"/>
  <c r="J35" i="11"/>
  <c r="J34" i="2"/>
  <c r="J31" i="15"/>
  <c r="J31" i="5"/>
  <c r="J29" i="9"/>
  <c r="J21" i="10"/>
  <c r="J17" i="11"/>
  <c r="J29" i="11"/>
  <c r="J23" i="12"/>
  <c r="J27" i="13"/>
  <c r="J39" i="13"/>
  <c r="J37" i="14"/>
  <c r="J29" i="15"/>
  <c r="J17" i="16"/>
  <c r="J31" i="16"/>
  <c r="J30" i="3"/>
  <c r="J31" i="10"/>
  <c r="J41" i="14"/>
  <c r="J21" i="13"/>
  <c r="J40" i="2"/>
  <c r="J19" i="5"/>
  <c r="J27" i="9"/>
  <c r="J15" i="11"/>
  <c r="J27" i="11"/>
  <c r="J21" i="12"/>
  <c r="J29" i="12"/>
  <c r="J37" i="13"/>
  <c r="J29" i="14"/>
  <c r="J27" i="15"/>
  <c r="J41" i="15"/>
  <c r="J29" i="16"/>
  <c r="J41" i="16"/>
  <c r="J31" i="9"/>
  <c r="J41" i="13"/>
  <c r="J31" i="14"/>
  <c r="J17" i="15"/>
  <c r="J29" i="8"/>
  <c r="J29" i="10"/>
  <c r="J33" i="11"/>
  <c r="J31" i="13"/>
  <c r="J27" i="14"/>
  <c r="J21" i="15"/>
  <c r="J39" i="15"/>
  <c r="J27" i="16"/>
  <c r="J39" i="16"/>
  <c r="J31" i="8"/>
  <c r="J31" i="12"/>
  <c r="J17" i="13"/>
  <c r="J17" i="14"/>
  <c r="C27" i="12"/>
  <c r="J27" i="12" s="1"/>
  <c r="C25" i="12"/>
  <c r="J25" i="12" s="1"/>
  <c r="C19" i="12"/>
  <c r="C17" i="12"/>
  <c r="J17" i="12" s="1"/>
  <c r="C15" i="12"/>
  <c r="C23" i="11"/>
  <c r="J23" i="11" s="1"/>
  <c r="J43" i="11" s="1"/>
  <c r="C25" i="11"/>
  <c r="J25" i="11" s="1"/>
  <c r="C19" i="10"/>
  <c r="J19" i="10" s="1"/>
  <c r="C17" i="10"/>
  <c r="J17" i="10" s="1"/>
  <c r="J39" i="11" l="1"/>
  <c r="F11" i="11" s="1"/>
  <c r="J21" i="11"/>
  <c r="J40" i="11" s="1"/>
  <c r="J11" i="11" s="1"/>
  <c r="J21" i="6" s="1"/>
  <c r="J26" i="18" s="1"/>
  <c r="J34" i="19"/>
  <c r="J35" i="19" s="1"/>
  <c r="J37" i="19"/>
  <c r="H11" i="19" s="1"/>
  <c r="H35" i="6" s="1"/>
  <c r="H40" i="18" s="1"/>
  <c r="J55" i="14"/>
  <c r="J56" i="14" s="1"/>
  <c r="J35" i="10"/>
  <c r="J38" i="11"/>
  <c r="H11" i="11" s="1"/>
  <c r="H21" i="6" s="1"/>
  <c r="H26" i="18" s="1"/>
  <c r="J23" i="10"/>
  <c r="J25" i="10" s="1"/>
  <c r="P58" i="10" s="1"/>
  <c r="J55" i="16"/>
  <c r="J56" i="16" s="1"/>
  <c r="J55" i="13"/>
  <c r="J56" i="13" s="1"/>
  <c r="J55" i="15"/>
  <c r="J56" i="15" s="1"/>
  <c r="J45" i="11"/>
  <c r="J46" i="11" s="1"/>
  <c r="K11" i="11" s="1"/>
  <c r="K21" i="6" s="1"/>
  <c r="J47" i="11"/>
  <c r="J48" i="11" s="1"/>
  <c r="K12" i="11" s="1"/>
  <c r="K22" i="6" s="1"/>
  <c r="K27" i="18" s="1"/>
  <c r="J44" i="11"/>
  <c r="J12" i="11" s="1"/>
  <c r="J22" i="6" s="1"/>
  <c r="C25" i="9"/>
  <c r="J25" i="9" s="1"/>
  <c r="C23" i="9"/>
  <c r="J23" i="9" s="1"/>
  <c r="C21" i="9"/>
  <c r="J21" i="9" s="1"/>
  <c r="C19" i="9"/>
  <c r="C17" i="9"/>
  <c r="J17" i="9" s="1"/>
  <c r="C15" i="9"/>
  <c r="F11" i="19" l="1"/>
  <c r="F35" i="6" s="1"/>
  <c r="F40" i="18" s="1"/>
  <c r="J36" i="10"/>
  <c r="M11" i="10" s="1"/>
  <c r="M19" i="6" s="1"/>
  <c r="M24" i="18" s="1"/>
  <c r="P55" i="10"/>
  <c r="P53" i="10"/>
  <c r="P40" i="10"/>
  <c r="P41" i="10"/>
  <c r="P54" i="10"/>
  <c r="P46" i="10"/>
  <c r="J34" i="10"/>
  <c r="L11" i="10" s="1"/>
  <c r="L19" i="6" s="1"/>
  <c r="L24" i="18" s="1"/>
  <c r="P57" i="10"/>
  <c r="P59" i="10"/>
  <c r="M38" i="10"/>
  <c r="O38" i="10" s="1"/>
  <c r="R38" i="10" s="1"/>
  <c r="P61" i="10"/>
  <c r="P56" i="10"/>
  <c r="P50" i="10"/>
  <c r="P38" i="10"/>
  <c r="P47" i="10"/>
  <c r="P60" i="10"/>
  <c r="P42" i="10"/>
  <c r="P51" i="10"/>
  <c r="P44" i="10"/>
  <c r="P39" i="10"/>
  <c r="P52" i="10"/>
  <c r="P45" i="10"/>
  <c r="P48" i="10"/>
  <c r="P43" i="10"/>
  <c r="P62" i="10"/>
  <c r="P49" i="10"/>
  <c r="K26" i="18"/>
  <c r="Q22" i="6"/>
  <c r="Q27" i="18" s="1"/>
  <c r="J27" i="18"/>
  <c r="C27" i="8"/>
  <c r="J27" i="8" s="1"/>
  <c r="C25" i="8"/>
  <c r="J25" i="8" s="1"/>
  <c r="C23" i="8"/>
  <c r="J23" i="8" s="1"/>
  <c r="C21" i="8"/>
  <c r="C19" i="8"/>
  <c r="J19" i="8" s="1"/>
  <c r="C17" i="8"/>
  <c r="J17" i="8" s="1"/>
  <c r="C15" i="8"/>
  <c r="C29" i="5"/>
  <c r="J29" i="5" s="1"/>
  <c r="C27" i="5"/>
  <c r="J27" i="5" s="1"/>
  <c r="J41" i="5" s="1"/>
  <c r="C23" i="5"/>
  <c r="J23" i="5" s="1"/>
  <c r="J40" i="5" s="1"/>
  <c r="C17" i="5"/>
  <c r="J17" i="5" s="1"/>
  <c r="C15" i="5"/>
  <c r="Q35" i="6" l="1"/>
  <c r="Q40" i="18" s="1"/>
  <c r="J42" i="5"/>
  <c r="M11" i="5" s="1"/>
  <c r="M13" i="6" s="1"/>
  <c r="M18" i="18" s="1"/>
  <c r="J37" i="5"/>
  <c r="G11" i="5" s="1"/>
  <c r="G13" i="6" s="1"/>
  <c r="G18" i="18" s="1"/>
  <c r="N38" i="10"/>
  <c r="M39" i="10" s="1"/>
  <c r="O39" i="10" s="1"/>
  <c r="R39" i="10" s="1"/>
  <c r="Q19" i="6"/>
  <c r="Q24" i="18" s="1"/>
  <c r="C28" i="3"/>
  <c r="J28" i="3" s="1"/>
  <c r="C26" i="3"/>
  <c r="J26" i="3" s="1"/>
  <c r="C24" i="3"/>
  <c r="J24" i="3" s="1"/>
  <c r="C22" i="3"/>
  <c r="J22" i="3" s="1"/>
  <c r="C14" i="3"/>
  <c r="C18" i="3"/>
  <c r="J18" i="3" s="1"/>
  <c r="C16" i="3"/>
  <c r="J16" i="3" s="1"/>
  <c r="C36" i="2"/>
  <c r="J36" i="2" s="1"/>
  <c r="C38" i="2"/>
  <c r="J38" i="2" s="1"/>
  <c r="C30" i="2"/>
  <c r="J30" i="2" s="1"/>
  <c r="J32" i="2" s="1"/>
  <c r="J48" i="2" s="1"/>
  <c r="C16" i="2"/>
  <c r="J16" i="2" s="1"/>
  <c r="C22" i="2"/>
  <c r="J22" i="2" l="1"/>
  <c r="J28" i="2"/>
  <c r="M16" i="3"/>
  <c r="M17" i="8"/>
  <c r="M17" i="5"/>
  <c r="N39" i="10"/>
  <c r="M40" i="10" s="1"/>
  <c r="O40" i="10" s="1"/>
  <c r="N40" i="10" s="1"/>
  <c r="M41" i="10" s="1"/>
  <c r="O41" i="10" s="1"/>
  <c r="R41" i="10" s="1"/>
  <c r="M34" i="3"/>
  <c r="J47" i="2" l="1"/>
  <c r="N41" i="10"/>
  <c r="M42" i="10" s="1"/>
  <c r="O42" i="10" s="1"/>
  <c r="N42" i="10" s="1"/>
  <c r="M43" i="10" s="1"/>
  <c r="O43" i="10" s="1"/>
  <c r="R40" i="10"/>
  <c r="R42" i="10" l="1"/>
  <c r="N43" i="10"/>
  <c r="M44" i="10" s="1"/>
  <c r="O44" i="10" s="1"/>
  <c r="R43" i="10"/>
  <c r="N44" i="10" l="1"/>
  <c r="M45" i="10" s="1"/>
  <c r="O45" i="10" s="1"/>
  <c r="R44" i="10"/>
  <c r="N45" i="10" l="1"/>
  <c r="M46" i="10" s="1"/>
  <c r="O46" i="10" s="1"/>
  <c r="R45" i="10"/>
  <c r="N46" i="10" l="1"/>
  <c r="M47" i="10" s="1"/>
  <c r="O47" i="10" s="1"/>
  <c r="R46" i="10"/>
  <c r="N47" i="10" l="1"/>
  <c r="M48" i="10" s="1"/>
  <c r="O48" i="10" s="1"/>
  <c r="R47" i="10"/>
  <c r="N48" i="10" l="1"/>
  <c r="M49" i="10" s="1"/>
  <c r="O49" i="10" s="1"/>
  <c r="R48" i="10"/>
  <c r="N49" i="10" l="1"/>
  <c r="M50" i="10" s="1"/>
  <c r="O50" i="10" s="1"/>
  <c r="R49" i="10"/>
  <c r="N50" i="10" l="1"/>
  <c r="M51" i="10" s="1"/>
  <c r="O51" i="10" s="1"/>
  <c r="R50" i="10"/>
  <c r="N51" i="10" l="1"/>
  <c r="M52" i="10" s="1"/>
  <c r="O52" i="10" s="1"/>
  <c r="R51" i="10"/>
  <c r="N52" i="10" l="1"/>
  <c r="M53" i="10" s="1"/>
  <c r="O53" i="10" s="1"/>
  <c r="R52" i="10"/>
  <c r="N53" i="10" l="1"/>
  <c r="M54" i="10" s="1"/>
  <c r="O54" i="10" s="1"/>
  <c r="R53" i="10"/>
  <c r="N54" i="10" l="1"/>
  <c r="M55" i="10" s="1"/>
  <c r="O55" i="10" s="1"/>
  <c r="R54" i="10"/>
  <c r="N55" i="10" l="1"/>
  <c r="M56" i="10" s="1"/>
  <c r="O56" i="10" s="1"/>
  <c r="R55" i="10"/>
  <c r="N56" i="10" l="1"/>
  <c r="M57" i="10" s="1"/>
  <c r="R56" i="10"/>
  <c r="O57" i="10" l="1"/>
  <c r="N57" i="10" l="1"/>
  <c r="M58" i="10" s="1"/>
  <c r="O58" i="10" s="1"/>
  <c r="R57" i="10"/>
  <c r="N58" i="10" l="1"/>
  <c r="M59" i="10" s="1"/>
  <c r="O59" i="10" s="1"/>
  <c r="R58" i="10"/>
  <c r="N59" i="10" l="1"/>
  <c r="M60" i="10" s="1"/>
  <c r="O60" i="10" s="1"/>
  <c r="R59" i="10"/>
  <c r="N60" i="10" l="1"/>
  <c r="M61" i="10" s="1"/>
  <c r="R60" i="10"/>
  <c r="O61" i="10" l="1"/>
  <c r="N61" i="10" l="1"/>
  <c r="M62" i="10" s="1"/>
  <c r="O62" i="10" s="1"/>
  <c r="R61" i="10"/>
  <c r="N62" i="10" l="1"/>
  <c r="R62" i="10"/>
  <c r="J37" i="10" s="1"/>
  <c r="M12" i="10" s="1"/>
  <c r="M20" i="6" s="1"/>
  <c r="Q20" i="6" l="1"/>
  <c r="Q25" i="18" s="1"/>
  <c r="M25" i="18"/>
  <c r="J15" i="13"/>
  <c r="J19" i="13" s="1"/>
  <c r="J51" i="2"/>
  <c r="J15" i="15"/>
  <c r="J19" i="15" s="1"/>
  <c r="J15" i="8"/>
  <c r="J21" i="8" s="1"/>
  <c r="J15" i="14"/>
  <c r="J19" i="14" s="1"/>
  <c r="J15" i="12"/>
  <c r="J19" i="12" s="1"/>
  <c r="J54" i="2"/>
  <c r="I11" i="2" s="1"/>
  <c r="I11" i="6" s="1"/>
  <c r="I16" i="18" s="1"/>
  <c r="J14" i="3"/>
  <c r="J20" i="3" s="1"/>
  <c r="J33" i="3" s="1"/>
  <c r="J52" i="2"/>
  <c r="J15" i="9"/>
  <c r="J19" i="9" s="1"/>
  <c r="J15" i="5"/>
  <c r="J21" i="5" s="1"/>
  <c r="J20" i="2"/>
  <c r="J15" i="16"/>
  <c r="J19" i="16" s="1"/>
  <c r="J47" i="16" l="1"/>
  <c r="J48" i="16" s="1"/>
  <c r="F12" i="16" s="1"/>
  <c r="F32" i="6" s="1"/>
  <c r="F37" i="18" s="1"/>
  <c r="J52" i="16"/>
  <c r="J11" i="16" s="1"/>
  <c r="J31" i="6" s="1"/>
  <c r="J36" i="18" s="1"/>
  <c r="J50" i="16"/>
  <c r="J51" i="16" s="1"/>
  <c r="H12" i="16" s="1"/>
  <c r="H32" i="6" s="1"/>
  <c r="H37" i="18" s="1"/>
  <c r="J49" i="16"/>
  <c r="H11" i="16" s="1"/>
  <c r="H31" i="6" s="1"/>
  <c r="H36" i="18" s="1"/>
  <c r="J53" i="16"/>
  <c r="J54" i="16" s="1"/>
  <c r="J12" i="16" s="1"/>
  <c r="J32" i="6" s="1"/>
  <c r="J37" i="18" s="1"/>
  <c r="J47" i="15"/>
  <c r="J48" i="15" s="1"/>
  <c r="F12" i="15" s="1"/>
  <c r="F30" i="6" s="1"/>
  <c r="F35" i="18" s="1"/>
  <c r="J49" i="15"/>
  <c r="H11" i="15" s="1"/>
  <c r="H29" i="6" s="1"/>
  <c r="H34" i="18" s="1"/>
  <c r="J53" i="15"/>
  <c r="J54" i="15" s="1"/>
  <c r="J12" i="15" s="1"/>
  <c r="J30" i="6" s="1"/>
  <c r="J35" i="18" s="1"/>
  <c r="J50" i="15"/>
  <c r="J51" i="15" s="1"/>
  <c r="H12" i="15" s="1"/>
  <c r="H30" i="6" s="1"/>
  <c r="H35" i="18" s="1"/>
  <c r="J52" i="15"/>
  <c r="J11" i="15" s="1"/>
  <c r="J29" i="6" s="1"/>
  <c r="J34" i="18" s="1"/>
  <c r="J49" i="14"/>
  <c r="H11" i="14" s="1"/>
  <c r="H27" i="6" s="1"/>
  <c r="H32" i="18" s="1"/>
  <c r="J53" i="14"/>
  <c r="J54" i="14" s="1"/>
  <c r="J12" i="14" s="1"/>
  <c r="J28" i="6" s="1"/>
  <c r="J33" i="18" s="1"/>
  <c r="J50" i="14"/>
  <c r="J51" i="14" s="1"/>
  <c r="H12" i="14" s="1"/>
  <c r="H28" i="6" s="1"/>
  <c r="H33" i="18" s="1"/>
  <c r="J52" i="14"/>
  <c r="J11" i="14" s="1"/>
  <c r="J27" i="6" s="1"/>
  <c r="J32" i="18" s="1"/>
  <c r="J50" i="13"/>
  <c r="J52" i="13"/>
  <c r="J11" i="13" s="1"/>
  <c r="J25" i="6" s="1"/>
  <c r="J30" i="18" s="1"/>
  <c r="J49" i="13"/>
  <c r="H11" i="13" s="1"/>
  <c r="H25" i="6" s="1"/>
  <c r="H30" i="18" s="1"/>
  <c r="J53" i="13"/>
  <c r="J57" i="13"/>
  <c r="J58" i="13" s="1"/>
  <c r="L12" i="13" s="1"/>
  <c r="L26" i="6" s="1"/>
  <c r="L31" i="18" s="1"/>
  <c r="J38" i="5"/>
  <c r="J39" i="5" s="1"/>
  <c r="J49" i="2"/>
  <c r="J50" i="2" s="1"/>
  <c r="M11" i="2" s="1"/>
  <c r="M11" i="6" s="1"/>
  <c r="M48" i="2"/>
  <c r="G11" i="2"/>
  <c r="G11" i="6" s="1"/>
  <c r="G16" i="18" s="1"/>
  <c r="J44" i="14"/>
  <c r="F11" i="14" s="1"/>
  <c r="F27" i="6" s="1"/>
  <c r="J47" i="14"/>
  <c r="J48" i="14" s="1"/>
  <c r="F12" i="14" s="1"/>
  <c r="F28" i="6" s="1"/>
  <c r="J47" i="13"/>
  <c r="J44" i="13"/>
  <c r="F11" i="13" s="1"/>
  <c r="F25" i="6" s="1"/>
  <c r="J34" i="8"/>
  <c r="F11" i="8" s="1"/>
  <c r="F15" i="6" s="1"/>
  <c r="J37" i="8"/>
  <c r="J38" i="8" s="1"/>
  <c r="F12" i="8" s="1"/>
  <c r="F16" i="6" s="1"/>
  <c r="J44" i="15"/>
  <c r="F11" i="15" s="1"/>
  <c r="F29" i="6" s="1"/>
  <c r="J41" i="12"/>
  <c r="J42" i="12" s="1"/>
  <c r="J12" i="12" s="1"/>
  <c r="J24" i="6" s="1"/>
  <c r="Q24" i="6" s="1"/>
  <c r="Q29" i="18" s="1"/>
  <c r="J37" i="12"/>
  <c r="J38" i="12" s="1"/>
  <c r="J35" i="12"/>
  <c r="J36" i="12" s="1"/>
  <c r="J37" i="9"/>
  <c r="J38" i="9" s="1"/>
  <c r="H12" i="9" s="1"/>
  <c r="H18" i="6" s="1"/>
  <c r="J39" i="9"/>
  <c r="J40" i="9" s="1"/>
  <c r="J34" i="9"/>
  <c r="H11" i="9" s="1"/>
  <c r="H17" i="6" s="1"/>
  <c r="J35" i="3"/>
  <c r="J36" i="3" s="1"/>
  <c r="J45" i="14"/>
  <c r="J46" i="14" s="1"/>
  <c r="J57" i="16"/>
  <c r="J58" i="16" s="1"/>
  <c r="L12" i="16" s="1"/>
  <c r="L32" i="6" s="1"/>
  <c r="L37" i="18" s="1"/>
  <c r="J44" i="16"/>
  <c r="F11" i="16" s="1"/>
  <c r="F31" i="6" s="1"/>
  <c r="J45" i="13"/>
  <c r="J46" i="13" s="1"/>
  <c r="J57" i="14"/>
  <c r="J58" i="14" s="1"/>
  <c r="L12" i="14" s="1"/>
  <c r="L28" i="6" s="1"/>
  <c r="L33" i="18" s="1"/>
  <c r="J34" i="3"/>
  <c r="F11" i="3" s="1"/>
  <c r="F12" i="6" s="1"/>
  <c r="J41" i="11"/>
  <c r="J42" i="11" s="1"/>
  <c r="J36" i="5"/>
  <c r="F11" i="5" s="1"/>
  <c r="F13" i="6" s="1"/>
  <c r="J39" i="12"/>
  <c r="J40" i="12" s="1"/>
  <c r="J43" i="5"/>
  <c r="J44" i="5" s="1"/>
  <c r="F12" i="5" s="1"/>
  <c r="F14" i="6" s="1"/>
  <c r="J57" i="15"/>
  <c r="J58" i="15" s="1"/>
  <c r="L12" i="15" s="1"/>
  <c r="L30" i="6" s="1"/>
  <c r="L35" i="18" s="1"/>
  <c r="J45" i="15"/>
  <c r="J46" i="15" s="1"/>
  <c r="J45" i="16"/>
  <c r="J46" i="16" s="1"/>
  <c r="J35" i="8"/>
  <c r="J36" i="8" s="1"/>
  <c r="J35" i="9"/>
  <c r="J36" i="9" s="1"/>
  <c r="G11" i="9" s="1"/>
  <c r="G17" i="6" s="1"/>
  <c r="J54" i="13" l="1"/>
  <c r="J12" i="13" s="1"/>
  <c r="J26" i="6" s="1"/>
  <c r="J48" i="13"/>
  <c r="F12" i="13" s="1"/>
  <c r="F26" i="6" s="1"/>
  <c r="F31" i="18" s="1"/>
  <c r="J51" i="13"/>
  <c r="H12" i="13" s="1"/>
  <c r="H26" i="6" s="1"/>
  <c r="H31" i="18" s="1"/>
  <c r="F11" i="2"/>
  <c r="F11" i="6" s="1"/>
  <c r="F16" i="18" s="1"/>
  <c r="F20" i="18"/>
  <c r="F32" i="18"/>
  <c r="F33" i="18"/>
  <c r="Q28" i="6"/>
  <c r="Q33" i="18" s="1"/>
  <c r="F30" i="18"/>
  <c r="Q30" i="6"/>
  <c r="Q35" i="18" s="1"/>
  <c r="F21" i="18"/>
  <c r="Q16" i="6"/>
  <c r="Q21" i="18" s="1"/>
  <c r="F34" i="18"/>
  <c r="F11" i="12"/>
  <c r="F23" i="6" s="1"/>
  <c r="F28" i="18" s="1"/>
  <c r="K11" i="12"/>
  <c r="K23" i="6" s="1"/>
  <c r="J29" i="18"/>
  <c r="F17" i="18"/>
  <c r="F19" i="18"/>
  <c r="G11" i="16"/>
  <c r="G31" i="6" s="1"/>
  <c r="G36" i="18" s="1"/>
  <c r="L11" i="16"/>
  <c r="L31" i="6" s="1"/>
  <c r="L36" i="18" s="1"/>
  <c r="G11" i="14"/>
  <c r="G27" i="6" s="1"/>
  <c r="G32" i="18" s="1"/>
  <c r="L11" i="14"/>
  <c r="L27" i="6" s="1"/>
  <c r="L32" i="18" s="1"/>
  <c r="I12" i="9"/>
  <c r="I18" i="6" s="1"/>
  <c r="L12" i="9"/>
  <c r="L18" i="6" s="1"/>
  <c r="L23" i="18" s="1"/>
  <c r="G11" i="15"/>
  <c r="G29" i="6" s="1"/>
  <c r="G34" i="18" s="1"/>
  <c r="L11" i="15"/>
  <c r="L29" i="6" s="1"/>
  <c r="L34" i="18" s="1"/>
  <c r="Q13" i="6"/>
  <c r="Q18" i="18" s="1"/>
  <c r="F18" i="18"/>
  <c r="G11" i="13"/>
  <c r="G25" i="6" s="1"/>
  <c r="G30" i="18" s="1"/>
  <c r="L11" i="13"/>
  <c r="L25" i="6" s="1"/>
  <c r="L30" i="18" s="1"/>
  <c r="L11" i="3"/>
  <c r="L12" i="6" s="1"/>
  <c r="G11" i="3"/>
  <c r="G12" i="6" s="1"/>
  <c r="H23" i="18"/>
  <c r="Q17" i="6"/>
  <c r="Q22" i="18" s="1"/>
  <c r="G22" i="18"/>
  <c r="G11" i="11"/>
  <c r="G21" i="6" s="1"/>
  <c r="L11" i="11"/>
  <c r="L21" i="6" s="1"/>
  <c r="L26" i="18" s="1"/>
  <c r="F36" i="18"/>
  <c r="G12" i="5"/>
  <c r="G14" i="6" s="1"/>
  <c r="G19" i="18" s="1"/>
  <c r="L12" i="5"/>
  <c r="L14" i="6" s="1"/>
  <c r="L19" i="18" s="1"/>
  <c r="M37" i="6"/>
  <c r="M12" i="18" s="1"/>
  <c r="M16" i="18"/>
  <c r="H22" i="18"/>
  <c r="L11" i="8"/>
  <c r="L15" i="6" s="1"/>
  <c r="L20" i="18" s="1"/>
  <c r="G11" i="8"/>
  <c r="G15" i="6" s="1"/>
  <c r="G20" i="18" s="1"/>
  <c r="G11" i="12"/>
  <c r="G23" i="6" s="1"/>
  <c r="G28" i="18" s="1"/>
  <c r="L11" i="12"/>
  <c r="L23" i="6" s="1"/>
  <c r="L28" i="18" s="1"/>
  <c r="Q32" i="6"/>
  <c r="Q37" i="18" s="1"/>
  <c r="Q26" i="6" l="1"/>
  <c r="Q31" i="18" s="1"/>
  <c r="Q11" i="6"/>
  <c r="Q16" i="18" s="1"/>
  <c r="H37" i="6"/>
  <c r="H12" i="18" s="1"/>
  <c r="J31" i="18"/>
  <c r="J37" i="6"/>
  <c r="J12" i="18" s="1"/>
  <c r="F37" i="6"/>
  <c r="F12" i="18" s="1"/>
  <c r="Q15" i="6"/>
  <c r="Q20" i="18" s="1"/>
  <c r="Q25" i="6"/>
  <c r="Q30" i="18" s="1"/>
  <c r="Q27" i="6"/>
  <c r="Q32" i="18" s="1"/>
  <c r="Q29" i="6"/>
  <c r="Q34" i="18" s="1"/>
  <c r="Q23" i="6"/>
  <c r="Q28" i="18" s="1"/>
  <c r="K28" i="18"/>
  <c r="K37" i="6"/>
  <c r="K12" i="18" s="1"/>
  <c r="Q18" i="6"/>
  <c r="Q23" i="18" s="1"/>
  <c r="Q31" i="6"/>
  <c r="Q36" i="18" s="1"/>
  <c r="Q14" i="6"/>
  <c r="Q19" i="18" s="1"/>
  <c r="G17" i="18"/>
  <c r="G37" i="6"/>
  <c r="G12" i="18" s="1"/>
  <c r="Q12" i="6"/>
  <c r="Q17" i="18" s="1"/>
  <c r="Q21" i="6"/>
  <c r="Q26" i="18" s="1"/>
  <c r="G26" i="18"/>
  <c r="L37" i="6"/>
  <c r="L17" i="18"/>
  <c r="I23" i="18"/>
  <c r="I37" i="6"/>
  <c r="I12" i="18" s="1"/>
  <c r="J38" i="6" l="1"/>
  <c r="J13" i="18" s="1"/>
  <c r="K38" i="6"/>
  <c r="K13" i="18" s="1"/>
  <c r="G38" i="6"/>
  <c r="G13" i="18" s="1"/>
  <c r="L12" i="18"/>
  <c r="L38" i="6"/>
  <c r="L13" i="18" s="1"/>
  <c r="M38" i="6"/>
  <c r="M13" i="18" s="1"/>
  <c r="F38" i="6"/>
  <c r="F13" i="18" s="1"/>
  <c r="H38" i="6"/>
  <c r="H13" i="18" s="1"/>
  <c r="I38" i="6"/>
  <c r="I13" i="18" s="1"/>
</calcChain>
</file>

<file path=xl/comments1.xml><?xml version="1.0" encoding="utf-8"?>
<comments xmlns="http://schemas.openxmlformats.org/spreadsheetml/2006/main">
  <authors>
    <author>Schneider</author>
    <author>Arbeitsplatz</author>
  </authors>
  <commentList>
    <comment ref="K3" authorId="0" shapeId="0">
      <text>
        <r>
          <rPr>
            <sz val="9"/>
            <color indexed="81"/>
            <rFont val="Tahoma"/>
            <family val="2"/>
          </rPr>
          <t xml:space="preserve">
Name des Quartiers bzw. Bezeichnung des Beispielfalls</t>
        </r>
      </text>
    </comment>
    <comment ref="M8" authorId="0" shapeId="0">
      <text>
        <r>
          <rPr>
            <sz val="9"/>
            <color indexed="81"/>
            <rFont val="Tahoma"/>
            <family val="2"/>
          </rPr>
          <t xml:space="preserve">
In den eingerahmten Feldern können eigene Erläuterungen erfasst werden.
</t>
        </r>
      </text>
    </comment>
    <comment ref="E11" authorId="1" shapeId="0">
      <text>
        <r>
          <rPr>
            <sz val="9"/>
            <color indexed="81"/>
            <rFont val="Tahoma"/>
            <charset val="1"/>
          </rPr>
          <t xml:space="preserve">
Anzugeben ist die Anzahl der Wohneinheiten im Quartier, wie sie ohne Mobilitätskonzept und ohne Reduzierung der Stellplatzbaupflicht vorgesehen wäre oder bereits errichtet wurde. Die Angabe definiert die Referenz, von der ausgehend die Kosten- und Nutzeneffekte ermittelt werden.</t>
        </r>
      </text>
    </comment>
    <comment ref="E13" authorId="1" shapeId="0">
      <text>
        <r>
          <rPr>
            <sz val="9"/>
            <color indexed="81"/>
            <rFont val="Tahoma"/>
            <charset val="1"/>
          </rPr>
          <t xml:space="preserve">
Anzugeben ist die durchschnittliche Jahreskaltmiete bezogen auf eine Wohneinheit im Referenzfall. Unterschiedliche Wohnungsgrößen und Mietpreiskategorien müssen dabei durch geeignete Gewichtung berücksichtigt werden. </t>
        </r>
      </text>
    </comment>
    <comment ref="K13" authorId="0" shapeId="0">
      <text>
        <r>
          <rPr>
            <sz val="9"/>
            <color indexed="81"/>
            <rFont val="Tahoma"/>
            <family val="2"/>
          </rPr>
          <t xml:space="preserve">
Vereinfachend kann hier die durchschnittliche Wohnungsgröße von 80 qm zugrunde gelegt werden, die Kosten für Erstvermietung sollten sich am ortsüblichen Niveau orientieren.</t>
        </r>
      </text>
    </comment>
    <comment ref="E15" authorId="1" shapeId="0">
      <text>
        <r>
          <rPr>
            <sz val="9"/>
            <color indexed="81"/>
            <rFont val="Tahoma"/>
            <charset val="1"/>
          </rPr>
          <t xml:space="preserve">
Sofern es innerhalb des Quartiers unterschiedliche Preiskategorien bei den zu mietenden Stellplätzen gibt, muss ein gewichteter Durchschnittspreis ermittelt werden. Ansonsten ist hier der jährliche Mietpreis pro Stellplatz anzugeben.</t>
        </r>
      </text>
    </comment>
    <comment ref="K15" authorId="0" shapeId="0">
      <text>
        <r>
          <rPr>
            <sz val="9"/>
            <color indexed="81"/>
            <rFont val="Tahoma"/>
            <family val="2"/>
          </rPr>
          <t xml:space="preserve">
Die Stellplatzmiete variiert stark, so dass hier örtliche Werte verwendet werden sollten. Obwohl in der Wohnungsmiete die Stellplatzkosten oft nicht separat ausgewiesen werden, sondern in die Miete inkludiert sind, wird in der Modellrechnung stets eine Trennung vorgenommen.</t>
        </r>
      </text>
    </comment>
    <comment ref="E17" authorId="1" shapeId="0">
      <text>
        <r>
          <rPr>
            <sz val="9"/>
            <color indexed="81"/>
            <rFont val="Tahoma"/>
            <charset val="1"/>
          </rPr>
          <t xml:space="preserve">
Für die zeitliche Homogenisierung aller Kosten- und Nutzeneffekte wird die Barwertmethode verwendet. Erst in der Zukunft entstehende monetäre Effekte werden auf den Betrachtungszeitpunkt zu Beginn der Laufzeit des Mobilitätskonzepts abgezinst.</t>
        </r>
      </text>
    </comment>
    <comment ref="K17" authorId="0" shapeId="0">
      <text>
        <r>
          <rPr>
            <sz val="9"/>
            <color indexed="81"/>
            <rFont val="Tahoma"/>
            <family val="2"/>
          </rPr>
          <t xml:space="preserve">
Der Kalkulationszinssatz sollte sich an einem langfristig realistischen Zinsniveau orientieren. Das aktuelle Zinsumfeld im Jahr 2021 legt eher niedrige Werte (2-4 %) nahe. </t>
        </r>
      </text>
    </comment>
    <comment ref="E20" authorId="1" shapeId="0">
      <text>
        <r>
          <rPr>
            <sz val="9"/>
            <color indexed="81"/>
            <rFont val="Tahoma"/>
            <charset val="1"/>
          </rPr>
          <t xml:space="preserve">
Anzugeben ist die Anzahl der Stellplätze je WE, die gemäß Stellplatzsatzung oder vergleichbarer Regelung im Quartier grundsätzlich herzustellen wären. Die Angabe definiert die Referenz, von der ausgehend die Kosten- und Nutzeneffekte ermittelt werden. Die mit Hilfe eines Mobilitätskonzepts ermöglichte Reduzierungen der Stellplatzbaupflicht bleibt an dieser Stelle noch unberücksichtigt. </t>
        </r>
      </text>
    </comment>
    <comment ref="E23" authorId="1" shapeId="0">
      <text>
        <r>
          <rPr>
            <sz val="9"/>
            <color indexed="81"/>
            <rFont val="Tahoma"/>
            <charset val="1"/>
          </rPr>
          <t xml:space="preserve">
Anzugeben ist die Anzahl der Stellplätze je WE, die sich unter Berücksichtigung der mit Hilfe eines Mobilitätskonzepts ermöglichten Reduzierungen der Stellplatzbaupflicht ergibt. </t>
        </r>
      </text>
    </comment>
    <comment ref="E25" authorId="1" shapeId="0">
      <text>
        <r>
          <rPr>
            <sz val="9"/>
            <color indexed="81"/>
            <rFont val="Tahoma"/>
            <charset val="1"/>
          </rPr>
          <t xml:space="preserve">
Anzugeben sind die durchschnittlichen Baukosten für einen Stellplatz. Unterschiedliche Bauausführungen (Tiefgarage, ebenerdiger Stellplatz usw.) und Mietpreiskategorien müssen dabei durch geeignete Gewichtung berücksichtigt werden. </t>
        </r>
      </text>
    </comment>
    <comment ref="K25" authorId="0" shapeId="0">
      <text>
        <r>
          <rPr>
            <sz val="9"/>
            <color indexed="81"/>
            <rFont val="Tahoma"/>
            <family val="2"/>
          </rPr>
          <t xml:space="preserve">
Tiefgaragenstellplatz: Je nach Untergrundverhältnissen und Ausführung 22.000 bis 40.000 Euro / Stellplatz
Parkhochbau: Systembauweise 7.000 bis 12.000 Euro / Stellplatz, 
Ortbetonbauweise: 12.000 bis 19.000 Euro / Stellplatz,
Ebenerdiger offener Stellplatz: 3.000 Euro / Stellplatz</t>
        </r>
      </text>
    </comment>
    <comment ref="E27" authorId="1" shapeId="0">
      <text>
        <r>
          <rPr>
            <sz val="9"/>
            <color indexed="81"/>
            <rFont val="Tahoma"/>
            <charset val="1"/>
          </rPr>
          <t xml:space="preserve">
Anzugeben sind die durchschnittlichen jährlichen laufenden Kosten für einen Stellplatz, z.B. für Reinigung und Wartung. Unterschiedliche Bauausführungen (Tiefgarage, ebenerdiger Stellplatz usw.) und Mietpreiskategorien müssen dabei durch geeignete Gewichtung berücksichtigt werden. </t>
        </r>
      </text>
    </comment>
    <comment ref="E29" authorId="1" shapeId="0">
      <text>
        <r>
          <rPr>
            <sz val="9"/>
            <color indexed="81"/>
            <rFont val="Tahoma"/>
            <charset val="1"/>
          </rPr>
          <t xml:space="preserve">
An dieser Stelle wird der Zeithorizont der Analyse definiert. Zum Teil treten die erwarteten Effekten über den gesamten Nutzungszeitraum der jeweiligen baulichen Einrichtung auf. Weil einzelne bauliche Einrichtungen und Ausstattungsgegenstände unterschiedlich lange Nutzungsdauern haben, wären bei sehr langen Zeiträumen zum Teil Reinvestitionen erforderlich. Diese können in einem vereinfachten Modell nur eingeschränkt abgebildet werden. Weil die Analyse eine Beurteilung von Mobilitätskonzepten ermöglichen soll, kann es deshalb häufig sinnvoller sein, die entsprechende Laufzeit als Betrachtungszeitraum anzugeben. </t>
        </r>
      </text>
    </comment>
    <comment ref="K29" authorId="0" shapeId="0">
      <text>
        <r>
          <rPr>
            <b/>
            <sz val="9"/>
            <color indexed="81"/>
            <rFont val="Tahoma"/>
            <family val="2"/>
          </rPr>
          <t xml:space="preserve">
</t>
        </r>
        <r>
          <rPr>
            <sz val="9"/>
            <color indexed="81"/>
            <rFont val="Tahoma"/>
            <family val="2"/>
          </rPr>
          <t>Nutzungsdauern liegen in der Regel bei bis zu 10 Jahren, teilweise auch bis zu 20 Jahren.</t>
        </r>
      </text>
    </comment>
    <comment ref="E31" authorId="1" shapeId="0">
      <text>
        <r>
          <rPr>
            <sz val="9"/>
            <color indexed="81"/>
            <rFont val="Tahoma"/>
            <charset val="1"/>
          </rPr>
          <t xml:space="preserve">
Zum Teil kann eine Reduzierung der Stellplatzbaupflicht auch eine Ablösezahlung begründen bzw. durch diese erreicht werden. Anzugeben wäre hier der Anteil der eingesparten Stellplätze, sofern die Ablösezahlung tatsächlich geleistet werden soll. Risikorücklagen für eventuelle spätere Maßnahmen/Ablösezahlungen werden im Modell vereinfachend nicht abgebildet.</t>
        </r>
      </text>
    </comment>
    <comment ref="O32" authorId="0" shapeId="0">
      <text>
        <r>
          <rPr>
            <sz val="9"/>
            <color indexed="81"/>
            <rFont val="Tahoma"/>
            <family val="2"/>
          </rPr>
          <t xml:space="preserve">
Bitte prüfen Sie die prozentuale Aufteilung der nicht erstellten Stellplätze auf die einzelnen Ersatzoptionen.</t>
        </r>
      </text>
    </comment>
    <comment ref="E33" authorId="1" shapeId="0">
      <text>
        <r>
          <rPr>
            <sz val="9"/>
            <color indexed="81"/>
            <rFont val="Tahoma"/>
            <charset val="1"/>
          </rPr>
          <t xml:space="preserve">
Wenn eine Ablösequote angegeben wurde, ist hier der Betrag anzugeben, der als Ablösezahlung je Stellplatz festgelegt wurde. </t>
        </r>
      </text>
    </comment>
    <comment ref="K33" authorId="0" shapeId="0">
      <text>
        <r>
          <rPr>
            <sz val="9"/>
            <color indexed="81"/>
            <rFont val="Tahoma"/>
            <family val="2"/>
          </rPr>
          <t xml:space="preserve">
4.500 bis 12.500 Euro / Stellplatz 
(In den großen Städten eher am oberen Ende; Lage des Quartiers im Stadtgebiet ist ein weiterer Einflussfaktor mit der Tendenz, dass in zentralen Lagen die Ablösebeträger höher sind.)</t>
        </r>
      </text>
    </comment>
    <comment ref="O37" authorId="0" shapeId="0">
      <text>
        <r>
          <rPr>
            <sz val="9"/>
            <color indexed="81"/>
            <rFont val="Tahoma"/>
            <family val="2"/>
          </rPr>
          <t xml:space="preserve">
Bitte prüfen Sie die prozentuale Aufteilung der nicht erstellten Stellplätze auf die einzelnen Ersatzoptionen.</t>
        </r>
      </text>
    </comment>
    <comment ref="M39" authorId="0" shapeId="0">
      <text>
        <r>
          <rPr>
            <sz val="9"/>
            <color indexed="81"/>
            <rFont val="Tahoma"/>
            <family val="2"/>
          </rPr>
          <t xml:space="preserve">
Bitte Gesamtzahl ODER Quote eingeben.</t>
        </r>
      </text>
    </comment>
    <comment ref="E40" authorId="1" shapeId="0">
      <text>
        <r>
          <rPr>
            <sz val="9"/>
            <color indexed="81"/>
            <rFont val="Tahoma"/>
            <charset val="1"/>
          </rPr>
          <t xml:space="preserve">
Sofern das Mobilitätskonzept zusätzliche Fahrradstellflächen vorsieht, sind diese hier anzugeben. Auch qualitative Anpassungen bei schon im Referenzfall bereitgestellten Stellflächen können berücksichtigt werden. Zusätzliche und aufgewertete Stellflächen werden dann addiert. In diesem Fall müssen die unterschiedlichen erforderlichen Investitionen und laufenden Kosten mit Hilfe geeigneter Durchschnittswerte an entsprechender Stelle berücksichtigt werden.</t>
        </r>
      </text>
    </comment>
    <comment ref="E42" authorId="1" shapeId="0">
      <text>
        <r>
          <rPr>
            <sz val="9"/>
            <color indexed="81"/>
            <rFont val="Tahoma"/>
            <charset val="1"/>
          </rPr>
          <t xml:space="preserve">
Anzugeben sind die Baukosten zusätzlicher Stellflächen und/oder die Zusatzbaukosten bei höherwertiger Ausführung als in geeigneter Weise gewichteter Durchschnitt.</t>
        </r>
      </text>
    </comment>
    <comment ref="K42" authorId="0" shapeId="0">
      <text>
        <r>
          <rPr>
            <sz val="9"/>
            <color indexed="81"/>
            <rFont val="Tahoma"/>
            <family val="2"/>
          </rPr>
          <t xml:space="preserve">
Fahrradbox: 500 bis 1.200 Euro für ein Fahrrad
Fahrradpavillion: 5.000 bis 10.000 Euro für 12 Fahrräder</t>
        </r>
      </text>
    </comment>
    <comment ref="E44" authorId="1" shapeId="0">
      <text>
        <r>
          <rPr>
            <sz val="9"/>
            <color indexed="81"/>
            <rFont val="Tahoma"/>
            <charset val="1"/>
          </rPr>
          <t xml:space="preserve">
An dieser Stelle wird definiert, über welchen Zeitraum die Effekte dieses Elements des Mobilitätskonzepts einbezogen werden sollen. Zum Teil treten die erwarteten Effekten über den gesamten Nutzungszeitraum der jeweiligen baulichen Einrichtung auf. Weil einzelne bauliche Einrichtungen und Ausstattungsgegenstände unterschiedlich lange Nutzungsdauern haben, wären bei sehr langen Zeiträumen zum Teil Reinvestitionen erforderlich. Diese können in einem vereinfachten Modell nur eingeschränkt abgebildet werden. Weil die Analyse eine Beurteilung von Mobilitätskonzepten ermöglichen soll, kann es deshalb häufig sinnvoller sein, die entsprechende Laufzeit als Betrachtungszeitraum anzugeben. </t>
        </r>
      </text>
    </comment>
    <comment ref="E46" authorId="1" shapeId="0">
      <text>
        <r>
          <rPr>
            <sz val="9"/>
            <color indexed="81"/>
            <rFont val="Tahoma"/>
            <charset val="1"/>
          </rPr>
          <t xml:space="preserve">
Anzugeben sind die durchschnittlichen jährlichen laufenden Kosten für eine Fahrradstellfläche, z.B. für Reinigung und Wartung. Unterschiedliche Bauausführungen (Fahrradständer mi/ohne Überdachung, Fahrradbox usw.) und Mietpreiskategorien müssen dabei durch geeignete Gewichtung berücksichtigt werden. </t>
        </r>
      </text>
    </comment>
    <comment ref="E49" authorId="1" shapeId="0">
      <text>
        <r>
          <rPr>
            <sz val="9"/>
            <color indexed="81"/>
            <rFont val="Tahoma"/>
            <charset val="1"/>
          </rPr>
          <t xml:space="preserve">
Sofern Investitionen in den ÖPNV in besonderer Weise durch das Quartier erforderlich werden (z. B. eine zusätzliche Haltestelle), können diese hier angegeben werden.</t>
        </r>
      </text>
    </comment>
    <comment ref="E51" authorId="1" shapeId="0">
      <text>
        <r>
          <rPr>
            <sz val="9"/>
            <color indexed="81"/>
            <rFont val="Tahoma"/>
            <charset val="1"/>
          </rPr>
          <t xml:space="preserve">
Sofern die Kommune an der Finanzierung direkt beteiligt ist, wird hier der entsprechende Anteil erfasst.</t>
        </r>
      </text>
    </comment>
    <comment ref="E53" authorId="1" shapeId="0">
      <text>
        <r>
          <rPr>
            <sz val="9"/>
            <color indexed="81"/>
            <rFont val="Tahoma"/>
            <charset val="1"/>
          </rPr>
          <t xml:space="preserve">
Sofern das Wohnungsunternehmen an der Finanzierung direkt beteiligt ist, wird hier der entsprechende Anteil erfasst.</t>
        </r>
      </text>
    </comment>
    <comment ref="E55" authorId="1" shapeId="0">
      <text>
        <r>
          <rPr>
            <sz val="9"/>
            <color indexed="81"/>
            <rFont val="Tahoma"/>
            <charset val="1"/>
          </rPr>
          <t xml:space="preserve">
An dieser Stelle wird definiert, über welchen Zeitraum die Effekte dieses Elements des Mobilitätskonzepts einbezogen werden sollen. Zum Teil treten die erwarteten Effekten über den gesamten Nutzungszeitraum der jeweiligen baulichen Einrichtung auf. Weil einzelne bauliche Einrichtungen und Ausstattungsgegenstände unterschiedlich lange Nutzungsdauern haben, wären bei sehr langen Zeiträumen zum Teil Reinvestitionen erforderlich. Diese können in einem vereinfachten Modell nur eingeschränkt abgebildet werden. Weil die Analyse eine Beurteilung von Mobilitätskonzepten ermöglichen soll, kann es deshalb häufig sinnvoller sein, die entsprechende Laufzeit als Betrachtungszeitraum anzugeben. </t>
        </r>
      </text>
    </comment>
    <comment ref="E57" authorId="1" shapeId="0">
      <text>
        <r>
          <rPr>
            <sz val="9"/>
            <color indexed="81"/>
            <rFont val="Tahoma"/>
            <charset val="1"/>
          </rPr>
          <t xml:space="preserve">
Anzugeben sind die durchschnittlichen jährlichen laufenden Kosten des ÖPNV, sofern diese zusätzlich zum Angebot im Referenzfall entstehen. </t>
        </r>
      </text>
    </comment>
    <comment ref="E59" authorId="1" shapeId="0">
      <text>
        <r>
          <rPr>
            <sz val="9"/>
            <color indexed="81"/>
            <rFont val="Tahoma"/>
            <charset val="1"/>
          </rPr>
          <t xml:space="preserve">
Anzugeben sind die durchschnittlichen jährlichen Nutzungsentgelte des ÖPNV in Summe, so wie sie im Referenzfall erhoben werden (würden). </t>
        </r>
      </text>
    </comment>
    <comment ref="E61" authorId="1" shapeId="0">
      <text>
        <r>
          <rPr>
            <sz val="9"/>
            <color indexed="81"/>
            <rFont val="Tahoma"/>
            <charset val="1"/>
          </rPr>
          <t xml:space="preserve">
Führt das durch zusätzliche bauliche oder technische Einrichtungen erweiterte Angebot im Quartier zu einer Anpassung der Nutzungsentgelte insgesamt, kann dies an dieser Stelle durch einen entsprechenden Aufschlag berücksichtigt werden.</t>
        </r>
      </text>
    </comment>
    <comment ref="E63" authorId="1" shapeId="0">
      <text>
        <r>
          <rPr>
            <sz val="9"/>
            <color indexed="81"/>
            <rFont val="Tahoma"/>
            <charset val="1"/>
          </rPr>
          <t xml:space="preserve">
Führt das durch einen dichteren Takt erweiterte Angebot im Quartier zu einer Anpassung der Nutzungsentgelte insgesamt, kann dies an dieser Stelle durch einen entsprechenden Aufschlag berücksichtigt werden.</t>
        </r>
      </text>
    </comment>
    <comment ref="K66" authorId="0" shapeId="0">
      <text>
        <r>
          <rPr>
            <sz val="9"/>
            <color indexed="81"/>
            <rFont val="Tahoma"/>
            <family val="2"/>
          </rPr>
          <t xml:space="preserve">
Örtliche ÖPNV-Tarife geben eine Orientierungsgröße.</t>
        </r>
      </text>
    </comment>
    <comment ref="M67" authorId="0" shapeId="0">
      <text>
        <r>
          <rPr>
            <sz val="9"/>
            <color indexed="81"/>
            <rFont val="Tahoma"/>
            <family val="2"/>
          </rPr>
          <t xml:space="preserve">
Bitte Gesamtzahl ODER Quote eingeben.</t>
        </r>
      </text>
    </comment>
    <comment ref="E68" authorId="1" shapeId="0">
      <text>
        <r>
          <rPr>
            <sz val="9"/>
            <color indexed="81"/>
            <rFont val="Tahoma"/>
            <charset val="1"/>
          </rPr>
          <t xml:space="preserve">
Sofern das Mobilitätskonzept Mietertickets vorsieht, sind diese hier anzugeben. Unterschiedliche Ausgestaltungsvarianten (Geteiltes Ticket, obligatorisches Ticket für alle WE usw.) und Preiskategorien werden hier zunächst zahlenmäßig (Menge) addiert. Unterschiedlich hohe Nutzungsentgelte müssen dann an entsprechender Stelle durch geeignete Gewichtung berücksichtigt werden. </t>
        </r>
      </text>
    </comment>
    <comment ref="E70" authorId="1" shapeId="0">
      <text>
        <r>
          <rPr>
            <sz val="9"/>
            <color indexed="81"/>
            <rFont val="Tahoma"/>
            <charset val="1"/>
          </rPr>
          <t xml:space="preserve">
Üblicherweise wird das Wohnungsunternehmen die Nutzungsentgelte der Mietertickets ganz oder teilweise tragen. Die Nutzungsentgelte unterschiedlicher Ausgestaltungsvarianten (Geteiltes Ticket, obligatorisches Ticket für alle WE usw.) und Preiskategorien sind hier durch eine geeignete Gewichtung zu berücksichtigen. </t>
        </r>
      </text>
    </comment>
    <comment ref="E72" authorId="1" shapeId="0">
      <text>
        <r>
          <rPr>
            <sz val="9"/>
            <color indexed="81"/>
            <rFont val="Tahoma"/>
            <charset val="1"/>
          </rPr>
          <t xml:space="preserve">
Sofern die Mieter*innen die Nutzungsentgelte der Mietertickets ganz oder teilweise tragen, kann dies hier erfasst werden. Die Nutzungsentgelte unterschiedlicher Ausgestaltungsvarianten (Geteiltes Ticket, obligatorisches Ticket für alle WE usw.) und Preiskategorien sind hier durch eine geeignete Gewichtung zu berücksichtigen. </t>
        </r>
      </text>
    </comment>
    <comment ref="E74" authorId="1" shapeId="0">
      <text>
        <r>
          <rPr>
            <sz val="9"/>
            <color indexed="81"/>
            <rFont val="Tahoma"/>
            <charset val="1"/>
          </rPr>
          <t xml:space="preserve">
An dieser Stelle wird definiert, über welchen Zeitraum die Effekte dieses Elements des Mobilitätskonzepts einbezogen werden sollen. </t>
        </r>
      </text>
    </comment>
    <comment ref="E76" authorId="1" shapeId="0">
      <text>
        <r>
          <rPr>
            <sz val="9"/>
            <color indexed="81"/>
            <rFont val="Tahoma"/>
            <charset val="1"/>
          </rPr>
          <t xml:space="preserve">
Verursacht die Bereitstellung der Mietertickets eine nennenswert höhere Nutzungsintensität im ÖPNV verbunden mit zusätzlichen laufenden Kosten, können diese hier als Wert bezogen auf das einzelne Mieterticket angegeben werden.</t>
        </r>
      </text>
    </comment>
    <comment ref="M80" authorId="0" shapeId="0">
      <text>
        <r>
          <rPr>
            <sz val="9"/>
            <color indexed="81"/>
            <rFont val="Tahoma"/>
            <family val="2"/>
          </rPr>
          <t xml:space="preserve">
Bitte Gesamtzahl ODER Quote eingeben.</t>
        </r>
      </text>
    </comment>
    <comment ref="E81" authorId="1" shapeId="0">
      <text>
        <r>
          <rPr>
            <sz val="9"/>
            <color indexed="81"/>
            <rFont val="Tahoma"/>
            <charset val="1"/>
          </rPr>
          <t xml:space="preserve">
Sofern das Mobilitätskonzept Carsharing-Einheiten (Stellplätze, Fahrzeuge und ggf. weitere Bestandteile) vorsieht, sind diese hier anzugeben. Falls notwendig, können unterschiedliche Bestandteile hier zunächst zahlenmäßig addiert werden. In diesem Fall müssen die unterschiedlichen erforderlichen Investitionen und laufenden Kosten mit Hilfe geeigneter Durchschnittswerte an entsprechender Stelle berücksichtigt werden.</t>
        </r>
      </text>
    </comment>
    <comment ref="E83" authorId="1" shapeId="0">
      <text>
        <r>
          <rPr>
            <sz val="9"/>
            <color indexed="81"/>
            <rFont val="Tahoma"/>
            <charset val="1"/>
          </rPr>
          <t xml:space="preserve">
Anzugeben sind die vom Wohnungsunternehmen getragenen Bau- bzw. Anschaffungskosten der Carsharing-Einheiten als in geeigneter Weise gewichteter Durchschnitt je Einheit.</t>
        </r>
      </text>
    </comment>
    <comment ref="K83" authorId="0" shapeId="0">
      <text>
        <r>
          <rPr>
            <sz val="9"/>
            <color indexed="81"/>
            <rFont val="Tahoma"/>
            <family val="2"/>
          </rPr>
          <t xml:space="preserve">
Einmalige Bereitstellungskosten je Carsharing-Fahrzeug: 2.500 bis 6.000 Euro </t>
        </r>
      </text>
    </comment>
    <comment ref="E85" authorId="1" shapeId="0">
      <text>
        <r>
          <rPr>
            <sz val="9"/>
            <color indexed="81"/>
            <rFont val="Tahoma"/>
            <charset val="1"/>
          </rPr>
          <t xml:space="preserve">
Anzugeben sind die von der Kommune getragenen Bau- bzw. Anschaffungskosten der Carsharing-Einheiten als in geeigneter Weise gewichteter Durchschnitt je Einheit.</t>
        </r>
      </text>
    </comment>
    <comment ref="K85" authorId="0" shapeId="0">
      <text>
        <r>
          <rPr>
            <sz val="9"/>
            <color indexed="81"/>
            <rFont val="Tahoma"/>
            <family val="2"/>
          </rPr>
          <t xml:space="preserve">
Einmalige Bereitstellungskosten je Carsharing-Fahrzeug: 2.500 bis 6.000 Euro </t>
        </r>
      </text>
    </comment>
    <comment ref="E87" authorId="1" shapeId="0">
      <text>
        <r>
          <rPr>
            <sz val="9"/>
            <color indexed="81"/>
            <rFont val="Tahoma"/>
            <charset val="1"/>
          </rPr>
          <t xml:space="preserve">
Anzugeben sind die vom Verkehrsunternehmen getragenen Bau- bzw. Anschaffungskosten der Carsharing-Einheiten als in geeigneter Weise gewichteter Durchschnitt je Einheit.</t>
        </r>
      </text>
    </comment>
    <comment ref="K87" authorId="0" shapeId="0">
      <text>
        <r>
          <rPr>
            <sz val="9"/>
            <color indexed="81"/>
            <rFont val="Tahoma"/>
            <family val="2"/>
          </rPr>
          <t xml:space="preserve">
Einmalige Bereitstellungskosten je Carsharing-Fahrzeug: 2.500 bis 6.000 Euro </t>
        </r>
      </text>
    </comment>
    <comment ref="E89" authorId="1" shapeId="0">
      <text>
        <r>
          <rPr>
            <sz val="9"/>
            <color indexed="81"/>
            <rFont val="Tahoma"/>
            <charset val="1"/>
          </rPr>
          <t xml:space="preserve">
An dieser Stelle wird definiert, über welchen Zeitraum die Effekte dieses Elements des Mobilitätskonzepts einbezogen werden sollen. </t>
        </r>
      </text>
    </comment>
    <comment ref="E91" authorId="1" shapeId="0">
      <text>
        <r>
          <rPr>
            <sz val="9"/>
            <color indexed="81"/>
            <rFont val="Tahoma"/>
            <charset val="1"/>
          </rPr>
          <t xml:space="preserve">
Anzugeben sind die vom Wohnungsunternehmen getragenen laufenden Kosten der Carsharing-Einheiten als in geeigneter Weise gewichteter Durchschnitt je Einheit.</t>
        </r>
      </text>
    </comment>
    <comment ref="K91" authorId="0" shapeId="0">
      <text>
        <r>
          <rPr>
            <sz val="9"/>
            <color indexed="81"/>
            <rFont val="Tahoma"/>
            <family val="2"/>
          </rPr>
          <t xml:space="preserve">
Laufende Kosten je Carsharing-Fahrzeug: 800 bis 1.000 Euro / Monat</t>
        </r>
      </text>
    </comment>
    <comment ref="E93" authorId="1" shapeId="0">
      <text>
        <r>
          <rPr>
            <sz val="9"/>
            <color indexed="81"/>
            <rFont val="Tahoma"/>
            <charset val="1"/>
          </rPr>
          <t xml:space="preserve">
Anzugeben sind die von der Kommune getragenen laufenden Kosten der Carsharing-Einheiten als in geeigneter Weise gewichteter Durchschnitt je Einheit.</t>
        </r>
      </text>
    </comment>
    <comment ref="K93" authorId="0" shapeId="0">
      <text>
        <r>
          <rPr>
            <sz val="9"/>
            <color indexed="81"/>
            <rFont val="Tahoma"/>
            <family val="2"/>
          </rPr>
          <t xml:space="preserve">
Laufende Kosten je Carsharing-Fahrzeug: 800 bis 1.000 Euro / Monat</t>
        </r>
      </text>
    </comment>
    <comment ref="E95" authorId="1" shapeId="0">
      <text>
        <r>
          <rPr>
            <sz val="9"/>
            <color indexed="81"/>
            <rFont val="Tahoma"/>
            <charset val="1"/>
          </rPr>
          <t xml:space="preserve">
Anzugeben sind die vom Verkehrsunternehmen getragenen laufenden Kosten der Carsharing-Einheiten als in geeigneter Weise gewichteter Durchschnitt je Einheit.</t>
        </r>
      </text>
    </comment>
    <comment ref="K95" authorId="0" shapeId="0">
      <text>
        <r>
          <rPr>
            <sz val="9"/>
            <color indexed="81"/>
            <rFont val="Tahoma"/>
            <family val="2"/>
          </rPr>
          <t xml:space="preserve">
Laufende Kosten je Carsharing-Fahrzeug: 800 bis 1.000 Euro / Monat</t>
        </r>
      </text>
    </comment>
    <comment ref="E97" authorId="1" shapeId="0">
      <text>
        <r>
          <rPr>
            <sz val="9"/>
            <color indexed="81"/>
            <rFont val="Tahoma"/>
            <charset val="1"/>
          </rPr>
          <t xml:space="preserve">
Führt das zusätzliche Angebot im Quartier zu mehr Wettbewerb bei den Mobilitätsanbietern, kann eine erwartete Anpassung der Nutzungsentgelte im ÖPNV an dieser Stelle durch einen entsprechenden Abschlag berücksichtigt werden.</t>
        </r>
      </text>
    </comment>
    <comment ref="E99" authorId="1" shapeId="0">
      <text>
        <r>
          <rPr>
            <sz val="9"/>
            <color indexed="81"/>
            <rFont val="Tahoma"/>
            <charset val="1"/>
          </rPr>
          <t xml:space="preserve">
Sofern die Mieter*innen zusätzlich Nutzungsentgelte entrichten müssen, sind diese hier anzugeben. Dabei sind fixe (Grundgebühr) und variable Bestandteile unter der Annahme einer durchschnittlichen Nutzungshäufigkeit zusammenzufassen.</t>
        </r>
      </text>
    </comment>
    <comment ref="M103" authorId="0" shapeId="0">
      <text>
        <r>
          <rPr>
            <sz val="9"/>
            <color indexed="81"/>
            <rFont val="Tahoma"/>
            <family val="2"/>
          </rPr>
          <t xml:space="preserve">
Bitte Gesamtzahl ODER Quote eingeben.</t>
        </r>
      </text>
    </comment>
    <comment ref="E104" authorId="1" shapeId="0">
      <text>
        <r>
          <rPr>
            <sz val="9"/>
            <color indexed="81"/>
            <rFont val="Tahoma"/>
            <charset val="1"/>
          </rPr>
          <t xml:space="preserve">
Sofern das Mobilitätskonzept Bikesharing-Einheiten (Stellplätze, Fahrräder und ggf. weitere Bestandteile) vorsieht, sind diese hier anzugeben. Falls notwendig, können unterschiedliche Bestandteile hier zunächst zahlenmäßig addiert werden. In diesem Fall müssen die unterschiedlichen erforderlichen Investitionen und laufenden Kosten mit Hilfe geeigneter Durchschnittswerte an entsprechender Stelle berücksichtigt werden.</t>
        </r>
      </text>
    </comment>
    <comment ref="E106" authorId="1" shapeId="0">
      <text>
        <r>
          <rPr>
            <sz val="9"/>
            <color indexed="81"/>
            <rFont val="Tahoma"/>
            <charset val="1"/>
          </rPr>
          <t xml:space="preserve">
Anzugeben sind die vom Wohnungsunternehmen getragenen Bau- bzw. Anschaffungskosten der Bikesharing-Einheiten als in geeigneter Weise gewichteter Durchschnitt je Einheit.</t>
        </r>
      </text>
    </comment>
    <comment ref="K106" authorId="0" shapeId="0">
      <text>
        <r>
          <rPr>
            <sz val="9"/>
            <color indexed="81"/>
            <rFont val="Tahoma"/>
            <family val="2"/>
          </rPr>
          <t xml:space="preserve">
Errichtung einer Bikesharing-Station inklusive Räder: 2.500 bis 3.000 Euro pro Fahrrad (stationsbasiertes, vollautomatisches System)</t>
        </r>
      </text>
    </comment>
    <comment ref="E108" authorId="1" shapeId="0">
      <text>
        <r>
          <rPr>
            <sz val="9"/>
            <color indexed="81"/>
            <rFont val="Tahoma"/>
            <charset val="1"/>
          </rPr>
          <t xml:space="preserve">
Anzugeben sind die von der Kommune getragenen Bau- bzw. Anschaffungskosten der Bikesharing-Einheiten als in geeigneter Weise gewichteter Durchschnitt je Einheit.</t>
        </r>
      </text>
    </comment>
    <comment ref="K108" authorId="0" shapeId="0">
      <text>
        <r>
          <rPr>
            <sz val="9"/>
            <color indexed="81"/>
            <rFont val="Tahoma"/>
            <family val="2"/>
          </rPr>
          <t xml:space="preserve">
Errichtung einer Bikesharing-Station inklusive Räder: 2.500 bis 3.000 Euro pro Fahrrad (stationsbasiertes, vollautomatisches System)</t>
        </r>
      </text>
    </comment>
    <comment ref="E110" authorId="1" shapeId="0">
      <text>
        <r>
          <rPr>
            <sz val="9"/>
            <color indexed="81"/>
            <rFont val="Tahoma"/>
            <charset val="1"/>
          </rPr>
          <t xml:space="preserve">
Anzugeben sind die vom Verkehrsunternehmen getragenen Bau- bzw. Anschaffungskosten der Bikesharing-Einheiten als in geeigneter Weise gewichteter Durchschnitt je Einheit.</t>
        </r>
      </text>
    </comment>
    <comment ref="K110" authorId="0" shapeId="0">
      <text>
        <r>
          <rPr>
            <sz val="9"/>
            <color indexed="81"/>
            <rFont val="Tahoma"/>
            <family val="2"/>
          </rPr>
          <t xml:space="preserve">
Errichtung einer Bikesharing-Station inklusive Räder: 2.500 bis 3.000 Euro pro Fahrrad (stationsbasiertes, vollautomatisches System)</t>
        </r>
      </text>
    </comment>
    <comment ref="E112" authorId="1" shapeId="0">
      <text>
        <r>
          <rPr>
            <sz val="9"/>
            <color indexed="81"/>
            <rFont val="Tahoma"/>
            <charset val="1"/>
          </rPr>
          <t xml:space="preserve">
An dieser Stelle wird definiert, über welchen Zeitraum die Effekte dieses Elements des Mobilitätskonzepts einbezogen werden sollen. </t>
        </r>
      </text>
    </comment>
    <comment ref="E114" authorId="1" shapeId="0">
      <text>
        <r>
          <rPr>
            <sz val="9"/>
            <color indexed="81"/>
            <rFont val="Tahoma"/>
            <charset val="1"/>
          </rPr>
          <t xml:space="preserve">
Anzugeben sind die vom Wohnungsunternehmen getragenen laufenden Kosten der Bikesharing-Einheiten als in geeigneter Weise gewichteter Durchschnitt je Einheit.</t>
        </r>
      </text>
    </comment>
    <comment ref="E116" authorId="1" shapeId="0">
      <text>
        <r>
          <rPr>
            <sz val="9"/>
            <color indexed="81"/>
            <rFont val="Tahoma"/>
            <charset val="1"/>
          </rPr>
          <t xml:space="preserve">
Anzugeben sind die von der Kommune getragenen laufenden Kosten der Bikesharing-Einheiten als in geeigneter Weise gewichteter Durchschnitt je Einheit.</t>
        </r>
      </text>
    </comment>
    <comment ref="E118" authorId="1" shapeId="0">
      <text>
        <r>
          <rPr>
            <sz val="9"/>
            <color indexed="81"/>
            <rFont val="Tahoma"/>
            <charset val="1"/>
          </rPr>
          <t xml:space="preserve">
Anzugeben sind die vom Verkehrsunternehmen getragenen laufenden Kosten der Bikesharing-Einheiten als in geeigneter Weise gewichteter Durchschnitt je Einheit.</t>
        </r>
      </text>
    </comment>
    <comment ref="E120" authorId="1" shapeId="0">
      <text>
        <r>
          <rPr>
            <sz val="9"/>
            <color indexed="81"/>
            <rFont val="Tahoma"/>
            <charset val="1"/>
          </rPr>
          <t xml:space="preserve">
Führt das zusätzliche Angebot im Quartier zu mehr Wettbewerb bei den Mobilitätsanbietern, kann eine erwartete Anpassung der Nutzungsentgelte im ÖPNV an dieser Stelle durch einen entsprechenden Abschlag berücksichtigt werden.</t>
        </r>
      </text>
    </comment>
    <comment ref="E122" authorId="1" shapeId="0">
      <text>
        <r>
          <rPr>
            <sz val="9"/>
            <color indexed="81"/>
            <rFont val="Tahoma"/>
            <charset val="1"/>
          </rPr>
          <t xml:space="preserve">
Sofern die Mieter*innen zusätzlich Nutzungsentgelte entrichten müssen, sind diese hier anzugeben. Dabei sind fixe (Grundgebühr) und variable Bestandteile unter der Annahme einer durchschnittlichen Nutzungshäufigkeit zusammenzufassen.</t>
        </r>
      </text>
    </comment>
    <comment ref="M126" authorId="0" shapeId="0">
      <text>
        <r>
          <rPr>
            <sz val="9"/>
            <color indexed="81"/>
            <rFont val="Tahoma"/>
            <family val="2"/>
          </rPr>
          <t xml:space="preserve">
Bitte Gesamtzahl ODER Quote eingeben.</t>
        </r>
      </text>
    </comment>
    <comment ref="E127" authorId="1" shapeId="0">
      <text>
        <r>
          <rPr>
            <sz val="9"/>
            <color indexed="81"/>
            <rFont val="Tahoma"/>
            <charset val="1"/>
          </rPr>
          <t xml:space="preserve">
Sofern das Mobilitätskonzept Cargoikesharing-Einheiten (Stellplätze, Fahrräder und ggf. weitere Bestandteile) vorsieht, sind diese hier anzugeben. Der Eingabebereich kann bei Bedarf auch für weitere Mobilitätsbausteine genutzt werden. Falls notwendig, können unterschiedliche Bestandteile hier zunächst zahlenmäßig addiert werden. In diesem Fall müssen die unterschiedlichen erforderlichen Investitionen und laufenden Kosten mit Hilfe geeigneter Durchschnittswerte an entsprechender Stelle berücksichtigt werden.</t>
        </r>
      </text>
    </comment>
    <comment ref="E129" authorId="1" shapeId="0">
      <text>
        <r>
          <rPr>
            <sz val="9"/>
            <color indexed="81"/>
            <rFont val="Tahoma"/>
            <charset val="1"/>
          </rPr>
          <t xml:space="preserve">
Anzugeben sind die vom Wohnungsunternehmen getragenen Bau- bzw. Anschaffungskosten der Cargobikesharing-Einheiten / Bausteine als in geeigneter Weise gewichteter Durchschnitt je Einheit.</t>
        </r>
      </text>
    </comment>
    <comment ref="K129" authorId="0" shapeId="0">
      <text>
        <r>
          <rPr>
            <sz val="9"/>
            <color indexed="81"/>
            <rFont val="Tahoma"/>
            <family val="2"/>
          </rPr>
          <t xml:space="preserve">
Anschaffung eines Cargobikes: 1.700 bis 5.000 Euro</t>
        </r>
      </text>
    </comment>
    <comment ref="E131" authorId="1" shapeId="0">
      <text>
        <r>
          <rPr>
            <sz val="9"/>
            <color indexed="81"/>
            <rFont val="Tahoma"/>
            <charset val="1"/>
          </rPr>
          <t xml:space="preserve">
Anzugeben sind die von der Kommune getragenen Bau- bzw. Anschaffungskosten der Cargobikesharing-Einheiten / Bausteine als in geeigneter Weise gewichteter Durchschnitt je Einheit.</t>
        </r>
      </text>
    </comment>
    <comment ref="K131" authorId="0" shapeId="0">
      <text>
        <r>
          <rPr>
            <sz val="9"/>
            <color indexed="81"/>
            <rFont val="Tahoma"/>
            <family val="2"/>
          </rPr>
          <t xml:space="preserve">
Anschaffung eines Cargobikes: 1.700 bis 5.000 Euro</t>
        </r>
      </text>
    </comment>
    <comment ref="E133" authorId="1" shapeId="0">
      <text>
        <r>
          <rPr>
            <sz val="9"/>
            <color indexed="81"/>
            <rFont val="Tahoma"/>
            <charset val="1"/>
          </rPr>
          <t xml:space="preserve">
Anzugeben sind die vom Verkehrsunternehmen getragenen Bau- bzw. Anschaffungskosten der Cargobikesharing-Einheiten / Bausteine als in geeigneter Weise gewichteter Durchschnitt je Einheit.</t>
        </r>
      </text>
    </comment>
    <comment ref="K133" authorId="0" shapeId="0">
      <text>
        <r>
          <rPr>
            <sz val="9"/>
            <color indexed="81"/>
            <rFont val="Tahoma"/>
            <family val="2"/>
          </rPr>
          <t xml:space="preserve">
Anschaffung eines Cargobikes: 1.700 bis 5.000 Euro</t>
        </r>
      </text>
    </comment>
    <comment ref="E135" authorId="1" shapeId="0">
      <text>
        <r>
          <rPr>
            <sz val="9"/>
            <color indexed="81"/>
            <rFont val="Tahoma"/>
            <charset val="1"/>
          </rPr>
          <t xml:space="preserve">
An dieser Stelle wird definiert, über welchen Zeitraum die Effekte dieses Elements des Mobilitätskonzepts einbezogen werden sollen. </t>
        </r>
      </text>
    </comment>
    <comment ref="E137" authorId="1" shapeId="0">
      <text>
        <r>
          <rPr>
            <sz val="9"/>
            <color indexed="81"/>
            <rFont val="Tahoma"/>
            <charset val="1"/>
          </rPr>
          <t xml:space="preserve">
Anzugeben sind die vom Wohnungsunternehmen getragenen laufenden Kosten der Cargobikesharing-Einheiten / Bausteine als in geeigneter Weise gewichteter Durchschnitt je Einheit.</t>
        </r>
      </text>
    </comment>
    <comment ref="E139" authorId="1" shapeId="0">
      <text>
        <r>
          <rPr>
            <sz val="9"/>
            <color indexed="81"/>
            <rFont val="Tahoma"/>
            <charset val="1"/>
          </rPr>
          <t xml:space="preserve">
Anzugeben sind die von der Kommune getragenen laufenden Kosten der Cargobikesharing-Einheiten / Bausteine als in geeigneter Weise gewichteter Durchschnitt je Einheit.</t>
        </r>
      </text>
    </comment>
    <comment ref="E141" authorId="1" shapeId="0">
      <text>
        <r>
          <rPr>
            <sz val="9"/>
            <color indexed="81"/>
            <rFont val="Tahoma"/>
            <charset val="1"/>
          </rPr>
          <t xml:space="preserve">
Anzugeben sind die vom Verkehrsunternehmen getragenen laufenden Kosten der Cargobikesharing-Einheiten / Bausteine als in geeigneter Weise gewichteter Durchschnitt je Einheit.</t>
        </r>
      </text>
    </comment>
    <comment ref="E143" authorId="1" shapeId="0">
      <text>
        <r>
          <rPr>
            <sz val="9"/>
            <color indexed="81"/>
            <rFont val="Tahoma"/>
            <charset val="1"/>
          </rPr>
          <t xml:space="preserve">
Führt das zusätzliche Angebot im Quartier zu mehr Wettbewerb bei den Mobilitätsanbietern, kann eine erwartete Anpassung der Nutzungsentgelte im ÖPNV an dieser Stelle durch einen entsprechenden Abschlag berücksichtigt werden.</t>
        </r>
      </text>
    </comment>
    <comment ref="E145" authorId="1" shapeId="0">
      <text>
        <r>
          <rPr>
            <sz val="9"/>
            <color indexed="81"/>
            <rFont val="Tahoma"/>
            <charset val="1"/>
          </rPr>
          <t xml:space="preserve">
Sofern die Mieter*innen zusätzlich Nutzungsentgelte entrichten müssen, sind diese hier anzugeben. Dabei sind fixe (Grundgebühr) und variable Bestandteile unter der Annahme einer durchschnittlichen Nutzungshäufigkeit zusammenzufassen.</t>
        </r>
      </text>
    </comment>
    <comment ref="M149" authorId="0" shapeId="0">
      <text>
        <r>
          <rPr>
            <sz val="9"/>
            <color indexed="81"/>
            <rFont val="Tahoma"/>
            <family val="2"/>
          </rPr>
          <t xml:space="preserve">
Bitte Gesamtzahl ODER Quote eingeben.</t>
        </r>
      </text>
    </comment>
    <comment ref="E150" authorId="1" shapeId="0">
      <text>
        <r>
          <rPr>
            <sz val="9"/>
            <color indexed="81"/>
            <rFont val="Tahoma"/>
            <charset val="1"/>
          </rPr>
          <t xml:space="preserve">
Sofern das Mobilitätskonzept E-Lade-Einheiten (Stellplätze, Ladesäulen und ggf. weitere Bestandteile) vorsieht, sind diese hier anzugeben. Falls notwendig, können unterschiedliche Bestandteile hier zunächst zahlenmäßig addiert werden. In diesem Fall müssen die unterschiedlichen erforderlichen Investitionen und laufenden Kosten mit Hilfe geeigneter Durchschnittswerte an entsprechender Stelle berücksichtigt werden.</t>
        </r>
      </text>
    </comment>
    <comment ref="E152" authorId="1" shapeId="0">
      <text>
        <r>
          <rPr>
            <sz val="9"/>
            <color indexed="81"/>
            <rFont val="Tahoma"/>
            <charset val="1"/>
          </rPr>
          <t xml:space="preserve">
Anzugeben sind die vom Wohnungsunternehmen getragenen Bau- bzw. Anschaffungskosten der E-Lade-Einheiten als in geeigneter Weise gewichteter Durchschnitt je Einheit.</t>
        </r>
      </text>
    </comment>
    <comment ref="E154" authorId="1" shapeId="0">
      <text>
        <r>
          <rPr>
            <sz val="9"/>
            <color indexed="81"/>
            <rFont val="Tahoma"/>
            <charset val="1"/>
          </rPr>
          <t xml:space="preserve">
Anzugeben sind die von der Kommune getragenen Bau- bzw. Anschaffungskosten der E-Lade-Einheiten als in geeigneter Weise gewichteter Durchschnitt je Einheit.</t>
        </r>
      </text>
    </comment>
    <comment ref="E156" authorId="1" shapeId="0">
      <text>
        <r>
          <rPr>
            <sz val="9"/>
            <color indexed="81"/>
            <rFont val="Tahoma"/>
            <charset val="1"/>
          </rPr>
          <t xml:space="preserve">
Anzugeben sind die vom Verkehrsunternehmen getragenen Bau- bzw. Anschaffungskosten der E-Lade-Einheiten als in geeigneter Weise gewichteter Durchschnitt je Einheit.</t>
        </r>
      </text>
    </comment>
    <comment ref="E158" authorId="1" shapeId="0">
      <text>
        <r>
          <rPr>
            <sz val="9"/>
            <color indexed="81"/>
            <rFont val="Tahoma"/>
            <charset val="1"/>
          </rPr>
          <t xml:space="preserve">
An dieser Stelle wird definiert, über welchen Zeitraum die Effekte dieses Elements des Mobilitätskonzepts einbezogen werden sollen. </t>
        </r>
      </text>
    </comment>
    <comment ref="E160" authorId="1" shapeId="0">
      <text>
        <r>
          <rPr>
            <sz val="9"/>
            <color indexed="81"/>
            <rFont val="Tahoma"/>
            <charset val="1"/>
          </rPr>
          <t xml:space="preserve">
Anzugeben sind die vom Wohnungsunternehmen getragenen laufenden Kosten der E-Lade-Einheiten als in geeigneter Weise gewichteter Durchschnitt je Einheit.</t>
        </r>
      </text>
    </comment>
    <comment ref="E162" authorId="1" shapeId="0">
      <text>
        <r>
          <rPr>
            <sz val="9"/>
            <color indexed="81"/>
            <rFont val="Tahoma"/>
            <charset val="1"/>
          </rPr>
          <t xml:space="preserve">
Anzugeben sind die von der Kommune getragenen laufenden Kosten der E-Lade-Einheiten als in geeigneter Weise gewichteter Durchschnitt je Einheit.</t>
        </r>
      </text>
    </comment>
    <comment ref="E164" authorId="1" shapeId="0">
      <text>
        <r>
          <rPr>
            <sz val="9"/>
            <color indexed="81"/>
            <rFont val="Tahoma"/>
            <charset val="1"/>
          </rPr>
          <t xml:space="preserve">
Anzugeben sind die vom Verkehrsunternehmen getragenen laufenden Kosten der E-Lade-Einheiten als in geeigneter Weise gewichteter Durchschnitt je Einheit.</t>
        </r>
      </text>
    </comment>
    <comment ref="E166" authorId="1" shapeId="0">
      <text>
        <r>
          <rPr>
            <sz val="9"/>
            <color indexed="81"/>
            <rFont val="Tahoma"/>
            <charset val="1"/>
          </rPr>
          <t xml:space="preserve">
Führt das zusätzliche Angebot im Quartier zu mehr Wettbewerb bei den Mobilitätsanbietern, kann eine erwartete Anpassung der Nutzungsentgelte im ÖPNV an dieser Stelle durch einen entsprechenden Abschlag berücksichtigt werden.</t>
        </r>
      </text>
    </comment>
    <comment ref="E168" authorId="1" shapeId="0">
      <text>
        <r>
          <rPr>
            <sz val="9"/>
            <color indexed="81"/>
            <rFont val="Tahoma"/>
            <charset val="1"/>
          </rPr>
          <t xml:space="preserve">
Sofern die Mieter*innen zusätzlich Nutzungsentgelte entrichten müssen, sind diese hier anzugeben. Dabei sind fixe (Grundgebühr) und variable Bestandteile unter der Annahme einer durchschnittlichen Nutzungshäufigkeit zusammenzufassen.</t>
        </r>
      </text>
    </comment>
    <comment ref="E171" authorId="1" shapeId="0">
      <text>
        <r>
          <rPr>
            <sz val="9"/>
            <color indexed="81"/>
            <rFont val="Tahoma"/>
            <charset val="1"/>
          </rPr>
          <t xml:space="preserve">
Die Erstellung des Mobilitätskonzepts erfolgt durch das Wohnungsunternehmen oder in dessen Auftrag. Es handelt sich um eine immaterielle Investition. </t>
        </r>
      </text>
    </comment>
    <comment ref="K171" authorId="0" shapeId="0">
      <text>
        <r>
          <rPr>
            <sz val="9"/>
            <color indexed="81"/>
            <rFont val="Tahoma"/>
            <family val="2"/>
          </rPr>
          <t xml:space="preserve">
Konzepterstellung: 10.000 bis 20.000 Euro</t>
        </r>
      </text>
    </comment>
    <comment ref="E173" authorId="1" shapeId="0">
      <text>
        <r>
          <rPr>
            <sz val="9"/>
            <color indexed="81"/>
            <rFont val="Tahoma"/>
            <charset val="1"/>
          </rPr>
          <t xml:space="preserve">
Sofern das Wohnungsunternehmen zu einer Evaluierung verpflichtet ist, müssen Daten erfasst und in der Regel mehrfach in Berichtsform bereitgestellt werden. Die im Betrachtungszeitraum entstehenden Kosten werden summiert und hier als jährlicher Durchschnittswert als laufende Kosten berücksichtigt.</t>
        </r>
      </text>
    </comment>
    <comment ref="K173" authorId="0" shapeId="0">
      <text>
        <r>
          <rPr>
            <sz val="9"/>
            <color indexed="81"/>
            <rFont val="Tahoma"/>
            <family val="2"/>
          </rPr>
          <t xml:space="preserve">
Evaluation: 8.000 bis 10.000 Euro / Bericht</t>
        </r>
      </text>
    </comment>
    <comment ref="E175" authorId="1" shapeId="0">
      <text>
        <r>
          <rPr>
            <sz val="9"/>
            <color indexed="81"/>
            <rFont val="Tahoma"/>
            <charset val="1"/>
          </rPr>
          <t xml:space="preserve">
Das Wohnungsunternehmen wird zur Umsetzung des Mobilitätskonzepts Informations- und Beratungsangebote bereitstellen. Sofern die dadurch verursachten Kosten nicht bereits bei den laufenden Kosten der einzelnen Bestandteile berücksichtigt sind, können die im Betrachtungszeitraum entstehenden Kosten hier summiert und als jährlicher Durchschnittswert angegeben werden.</t>
        </r>
      </text>
    </comment>
    <comment ref="E177" authorId="1" shapeId="0">
      <text>
        <r>
          <rPr>
            <sz val="9"/>
            <color indexed="81"/>
            <rFont val="Tahoma"/>
            <charset val="1"/>
          </rPr>
          <t xml:space="preserve">
Die Kommune wird die Umsetzung des Mobilitätskonzepts überprüfen. Sofern die dadurch verursachten Kosten nicht bereits bei den laufenden Kosten der einzelnen Bestandteile berücksichtigt sind, können die im Betrachtungszeitraum entstehenden Kosten hier summiert und als jährlicher Durchschnittswert angegeben werden.</t>
        </r>
      </text>
    </comment>
    <comment ref="E179" authorId="1" shapeId="0">
      <text>
        <r>
          <rPr>
            <sz val="9"/>
            <color indexed="81"/>
            <rFont val="Tahoma"/>
            <charset val="1"/>
          </rPr>
          <t xml:space="preserve">
An dieser Stelle wird definiert, über welchen Zeitraum die laufenden Kosten der Umsetzung des Mobilitätskonzepts einbezogen werden sollen. </t>
        </r>
      </text>
    </comment>
    <comment ref="E182" authorId="1" shapeId="0">
      <text>
        <r>
          <rPr>
            <sz val="9"/>
            <color indexed="81"/>
            <rFont val="Tahoma"/>
            <family val="2"/>
          </rPr>
          <t xml:space="preserve">
Sofern die Kommune begleitend zur Entwicklung des Quartiers zusätzliche Stellplätze im allgemeinen Straßenraum benachbarter Bereiche errichten möchte, kann deren Anzahl hier abgebildet werden. Dabei ist eine Quote bezogen auf die Anzahl der eingesparten Stellplätze anzugeben.</t>
        </r>
      </text>
    </comment>
    <comment ref="E184" authorId="1" shapeId="0">
      <text>
        <r>
          <rPr>
            <sz val="9"/>
            <color indexed="81"/>
            <rFont val="Tahoma"/>
            <family val="2"/>
          </rPr>
          <t xml:space="preserve">
Anzugeben sind die durchschnittlichen Baukosten für einen Stellplatz. Unterschiedliche Bauausführungen (Tiefgarage, ebenerdiger Stellplatz usw.) müssen dabei durch geeignete Gewichtung berücksichtigt werden. </t>
        </r>
      </text>
    </comment>
    <comment ref="E186" authorId="1" shapeId="0">
      <text>
        <r>
          <rPr>
            <sz val="9"/>
            <color indexed="81"/>
            <rFont val="Tahoma"/>
            <family val="2"/>
          </rPr>
          <t xml:space="preserve">
An dieser Stelle wird definiert, über welchen Zeitraum die laufenden Kosten der Umsetzung des Mobilitätskonzepts einbezogen werden sollen. </t>
        </r>
      </text>
    </comment>
    <comment ref="E188" authorId="1" shapeId="0">
      <text>
        <r>
          <rPr>
            <sz val="9"/>
            <color indexed="81"/>
            <rFont val="Tahoma"/>
            <family val="2"/>
          </rPr>
          <t xml:space="preserve">
Anzugeben sind die von der Kommune getragenen laufenden Kosten als in geeigneter Weise gewichteter Durchschnitt je Stellplatz.</t>
        </r>
      </text>
    </comment>
    <comment ref="E190" authorId="1" shapeId="0">
      <text>
        <r>
          <rPr>
            <sz val="9"/>
            <color indexed="81"/>
            <rFont val="Tahoma"/>
            <family val="2"/>
          </rPr>
          <t xml:space="preserve">
Anzugeben sind die von der Kommune im Rahmen der Parkraumbewirtschaftung ggf. erhobenen Erträge als in geeigneter Weise gewichteter Durchschnitt je Stellplatz.</t>
        </r>
      </text>
    </comment>
    <comment ref="O194" authorId="0" shapeId="0">
      <text>
        <r>
          <rPr>
            <sz val="9"/>
            <color indexed="81"/>
            <rFont val="Tahoma"/>
            <family val="2"/>
          </rPr>
          <t xml:space="preserve">
Bitte prüfen Sie die prozentuale Aufteilung der nicht erstellten Stellplätze auf die einzelnen Ersatzoptionen.</t>
        </r>
      </text>
    </comment>
    <comment ref="M196" authorId="0" shapeId="0">
      <text>
        <r>
          <rPr>
            <sz val="9"/>
            <color indexed="81"/>
            <rFont val="Tahoma"/>
            <family val="2"/>
          </rPr>
          <t xml:space="preserve">
Bitte Gesamtzahl ODER Quote eingeben.</t>
        </r>
      </text>
    </comment>
    <comment ref="E197" authorId="1" shapeId="0">
      <text>
        <r>
          <rPr>
            <sz val="9"/>
            <color indexed="81"/>
            <rFont val="Tahoma"/>
            <family val="2"/>
          </rPr>
          <t xml:space="preserve">
Nicht mehr für Stellplätze benötigte ebenerdige Flächen können ggf. in Grünflächen oder vergleichbare Anlagen umgewandelt werden. Hier ist die gesamte entsprechend umgenutzte Fläche anzugeben. Unterschiedliche Ausführungen (Rasenfläche, Bäume und Sträucher, Spielflächen usw.) müssen bei der Angabe der Investitionen und laufenden Kosten durch geeignete Gewichtung berücksichtigt werden.  </t>
        </r>
      </text>
    </comment>
    <comment ref="E199" authorId="1" shapeId="0">
      <text>
        <r>
          <rPr>
            <sz val="9"/>
            <color indexed="81"/>
            <rFont val="Tahoma"/>
            <family val="2"/>
          </rPr>
          <t xml:space="preserve">
Anzugeben sind die vom Wohnungsunternehmen getragenen laufenden Kosten als in geeigneter Weise gewichteter Durchschnitt je Quadratmeter.</t>
        </r>
      </text>
    </comment>
    <comment ref="E201" authorId="1" shapeId="0">
      <text>
        <r>
          <rPr>
            <sz val="9"/>
            <color indexed="81"/>
            <rFont val="Tahoma"/>
            <family val="2"/>
          </rPr>
          <t xml:space="preserve">
Anzugeben sind die durchschnittlichen Herstellungskosten je Quadratmeter. Unterschiedliche Ausführungen (Rasenfläche, Bäume und Sträucher, Spielflächen usw.) müssen dabei durch geeignete Gewichtung berücksichtigt werden. </t>
        </r>
      </text>
    </comment>
    <comment ref="E203" authorId="1" shapeId="0">
      <text>
        <r>
          <rPr>
            <sz val="9"/>
            <color indexed="81"/>
            <rFont val="Tahoma"/>
            <family val="2"/>
          </rPr>
          <t xml:space="preserve">
An dieser Stelle wird definiert, über welchen Zeitraum die laufenden Kosten der Umsetzung des Mobilitätskonzepts einbezogen werden sollen. </t>
        </r>
      </text>
    </comment>
    <comment ref="O207" authorId="0" shapeId="0">
      <text>
        <r>
          <rPr>
            <sz val="9"/>
            <color indexed="81"/>
            <rFont val="Tahoma"/>
            <family val="2"/>
          </rPr>
          <t xml:space="preserve">
Bitte prüfen Sie die prozentuale Aufteilung der nicht erstellten Stellplätze auf die einzelnen Ersatzoptionen.</t>
        </r>
      </text>
    </comment>
    <comment ref="M209" authorId="0" shapeId="0">
      <text>
        <r>
          <rPr>
            <sz val="9"/>
            <color indexed="81"/>
            <rFont val="Tahoma"/>
            <family val="2"/>
          </rPr>
          <t xml:space="preserve">
Bitte Gesamtzahl ODER Quote eingeben.</t>
        </r>
      </text>
    </comment>
    <comment ref="E210" authorId="1" shapeId="0">
      <text>
        <r>
          <rPr>
            <sz val="9"/>
            <color indexed="81"/>
            <rFont val="Tahoma"/>
            <family val="2"/>
          </rPr>
          <t xml:space="preserve">
Nicht mehr für Stellplätze benötigte ebenerdige Flächen können ggf. für zusätzliche Wohneinheiten genutzt werden. Hier ist die gesamte entsprechend umgenutzte Fläche anzugeben. Unterschiedliche Wohnungsgrößen und Mietpreiskategorien müssen bei der Angabe der Investitionen und laufenden Kosten durch geeignete Gewichtung berücksichtigt werden.  </t>
        </r>
      </text>
    </comment>
    <comment ref="E212" authorId="1" shapeId="0">
      <text>
        <r>
          <rPr>
            <sz val="9"/>
            <color indexed="81"/>
            <rFont val="Tahoma"/>
            <family val="2"/>
          </rPr>
          <t xml:space="preserve">
Anzugeben sind die durchschnittlichen Baukosten je Wohneinheit. Unterschiedliche Wohnungsgrößen und Mietpreiskategorien müssen dabei durch geeignete Gewichtung berücksichtigt werden. An dieser Stelle kann berücksichtigt werden, dass die spezifischen Baukosten bei der Umsetzung des Mobilitätskonzepts vom Referenzfall abweichen.</t>
        </r>
      </text>
    </comment>
    <comment ref="E214" authorId="1" shapeId="0">
      <text>
        <r>
          <rPr>
            <sz val="9"/>
            <color indexed="81"/>
            <rFont val="Tahoma"/>
            <family val="2"/>
          </rPr>
          <t xml:space="preserve">
Anzugeben sind die durchschnittlichen Baukosten je Wohneinheit. Unterschiedliche Wohnungsgrößen und Mietpreiskategorien müssen dabei durch geeignete Gewichtung berücksichtigt werden. An dieser Stelle sind die spezifischen Baukosten im Referenzfall anzugeben.</t>
        </r>
      </text>
    </comment>
    <comment ref="E216" authorId="1" shapeId="0">
      <text>
        <r>
          <rPr>
            <sz val="9"/>
            <color indexed="81"/>
            <rFont val="Tahoma"/>
            <family val="2"/>
          </rPr>
          <t xml:space="preserve">
An dieser Stelle wird definiert, über welchen Zeitraum die laufenden Kosten der Umsetzung des Mobilitätskonzepts einbezogen werden sollen. </t>
        </r>
      </text>
    </comment>
    <comment ref="E218" authorId="1" shapeId="0">
      <text>
        <r>
          <rPr>
            <sz val="9"/>
            <color indexed="81"/>
            <rFont val="Tahoma"/>
            <family val="2"/>
          </rPr>
          <t xml:space="preserve">
Anzugeben sind die vom Wohnungsunternehmen getragenen laufenden Kosten als in geeigneter Weise gewichteter Durchschnitt je Quadratmeter.</t>
        </r>
      </text>
    </comment>
    <comment ref="E221" authorId="1" shapeId="0">
      <text>
        <r>
          <rPr>
            <sz val="9"/>
            <color indexed="81"/>
            <rFont val="Tahoma"/>
            <family val="2"/>
          </rPr>
          <t xml:space="preserve">
Sofern die (zukünftigen) Mieter*innen aufgrund der zusätzlichen Mobilitätsangebote bereits vorhandene Fahrzeuge abschaffen, kann dies hier berücksichtigt werden. </t>
        </r>
      </text>
    </comment>
    <comment ref="E223" authorId="1" shapeId="0">
      <text>
        <r>
          <rPr>
            <sz val="9"/>
            <color indexed="81"/>
            <rFont val="Tahoma"/>
            <family val="2"/>
          </rPr>
          <t xml:space="preserve">
Anzugeben sind die durchschnittlichen Anschaffungskosten je Fahrzeug. Unterschiedliche Fahrzeuggrößen und Preiskategorien müssen dabei durch geeignete Gewichtung berücksichtigt werden.</t>
        </r>
      </text>
    </comment>
    <comment ref="E225" authorId="1" shapeId="0">
      <text>
        <r>
          <rPr>
            <sz val="9"/>
            <color indexed="81"/>
            <rFont val="Tahoma"/>
            <family val="2"/>
          </rPr>
          <t xml:space="preserve">
Für die Wertermittlung der vorhandenen Fahrzeuge wird deren planmäßige Nutzungsdauer zugrunde gelegt. Unterschiedliche Fahrzeuggrößen und Preiskategorien müssen dabei durch geeignete Gewichtung berücksichtigt werden.</t>
        </r>
      </text>
    </comment>
    <comment ref="E227" authorId="1" shapeId="0">
      <text>
        <r>
          <rPr>
            <sz val="9"/>
            <color indexed="81"/>
            <rFont val="Tahoma"/>
            <family val="2"/>
          </rPr>
          <t xml:space="preserve">
Für die Wertermittlung der vorhandenen Fahrzeuge wird deren durchschnittliches Alter zugrunde gelegt. </t>
        </r>
      </text>
    </comment>
    <comment ref="E229" authorId="1" shapeId="0">
      <text>
        <r>
          <rPr>
            <sz val="9"/>
            <color indexed="81"/>
            <rFont val="Tahoma"/>
            <family val="2"/>
          </rPr>
          <t xml:space="preserve">
Für die Wertermittlung der vorhandenen Fahrzeuge wird ein durchschnittlicher Wertverlust beim Verkauf zugrunde gelegt. Unterschiedliche Fahrzeuggrößen und Preiskategorien müssen dabei durch geeignete Gewichtung berücksichtigt werden.</t>
        </r>
      </text>
    </comment>
    <comment ref="E231" authorId="1" shapeId="0">
      <text>
        <r>
          <rPr>
            <sz val="9"/>
            <color indexed="81"/>
            <rFont val="Tahoma"/>
            <family val="2"/>
          </rPr>
          <t xml:space="preserve">
Anzugeben sind die durch Bereithaltung und Nutzung eines Fahrzeugs verursachten laufenden Kosten als in geeigneter Weise gewichteter Durchschnitt je Fahrzeug.</t>
        </r>
      </text>
    </comment>
    <comment ref="E234" authorId="1" shapeId="0">
      <text>
        <r>
          <rPr>
            <sz val="9"/>
            <color indexed="81"/>
            <rFont val="Tahoma"/>
            <family val="2"/>
          </rPr>
          <t xml:space="preserve">
Falls sich die Maßnahmen und Angebote im Zusammenhang mit dem Mobilitätskonzept ganz allgemein auf die Miethöhe auswirken, kann dies hier erfasst werden. Anzugeben ist die (erwartete) durchschnittliche Jahreskaltmiete bezogen auf eine Wohneinheit. Unterschiedliche Wohnungsgrößen und Mietpreiskategorien müssen dabei durch geeignete Gewichtung berücksichtigt werden. </t>
        </r>
      </text>
    </comment>
    <comment ref="E236" authorId="1" shapeId="0">
      <text>
        <r>
          <rPr>
            <sz val="9"/>
            <color indexed="81"/>
            <rFont val="Tahoma"/>
            <family val="2"/>
          </rPr>
          <t xml:space="preserve">
Falls sich die dichtere / effizientere Bebauung auf die Miethöhe auswirkt, kann dies hier erfasst werden. Anzugeben sind die durchschnittlichen geringeren Kosten bezogen auf eine Wohneinheit. Unterschiedliche Wohnungsgrößen und Mietpreiskategorien müssen dabei durch geeignete Gewichtung berücksichtigt werden. </t>
        </r>
      </text>
    </comment>
    <comment ref="E238" authorId="1" shapeId="0">
      <text>
        <r>
          <rPr>
            <sz val="9"/>
            <color indexed="81"/>
            <rFont val="Tahoma"/>
            <family val="2"/>
          </rPr>
          <t xml:space="preserve">
Falls sich das Element des Mobilitätskonzepts auf die Miethöhe auswirkt, kann dies hier differenziert erfasst werden. Anzugeben sind die jeweils anteiligen durchschnittlichen zusätzlichen Kosten bezogen auf eine Wohneinheit. Unterschiedliche Wohnungsgrößen und Mietpreiskategorien müssen dabei durch geeignete Gewichtung berücksichtigt werden.</t>
        </r>
      </text>
    </comment>
  </commentList>
</comments>
</file>

<file path=xl/comments2.xml><?xml version="1.0" encoding="utf-8"?>
<comments xmlns="http://schemas.openxmlformats.org/spreadsheetml/2006/main">
  <authors>
    <author>Schneider</author>
  </authors>
  <commentList>
    <comment ref="Q9" authorId="0" shapeId="0">
      <text>
        <r>
          <rPr>
            <sz val="9"/>
            <color indexed="81"/>
            <rFont val="Tahoma"/>
            <family val="2"/>
          </rPr>
          <t xml:space="preserve">
An dieser Stelle kann die Darstellung durch Filterung der relevanten Aspekte verdichtet werden.</t>
        </r>
      </text>
    </comment>
  </commentList>
</comments>
</file>

<file path=xl/comments3.xml><?xml version="1.0" encoding="utf-8"?>
<comments xmlns="http://schemas.openxmlformats.org/spreadsheetml/2006/main">
  <authors>
    <author>Schneider</author>
  </authors>
  <commentList>
    <comment ref="C9" authorId="0" shapeId="0">
      <text>
        <r>
          <rPr>
            <sz val="9"/>
            <color indexed="81"/>
            <rFont val="Tahoma"/>
            <family val="2"/>
          </rPr>
          <t xml:space="preserve">
Bitte hier noch einmal alle in die Betrachtung einzubeziehenden Auswirkungen mit einem "x" markieren.</t>
        </r>
      </text>
    </comment>
  </commentList>
</comments>
</file>

<file path=xl/sharedStrings.xml><?xml version="1.0" encoding="utf-8"?>
<sst xmlns="http://schemas.openxmlformats.org/spreadsheetml/2006/main" count="1906" uniqueCount="535">
  <si>
    <t>Auswirkung</t>
  </si>
  <si>
    <t>Erläuterung</t>
  </si>
  <si>
    <t>Kommunen</t>
  </si>
  <si>
    <t>Mieter*innen</t>
  </si>
  <si>
    <t>Ausbau Infrastruktur (ÖPNV)</t>
  </si>
  <si>
    <t>Der Ausbau umfasst u.a. die Errichtung zusätzlicher Haltestellen und die Erweiterung des Liniennetzes.</t>
  </si>
  <si>
    <t>Verdichtung ÖPNV-Angebote</t>
  </si>
  <si>
    <t>Die Verdichtung erfordert ggf. zusätzliche Fahrzeuge und Personal.</t>
  </si>
  <si>
    <t>Bereitstellung Ticket</t>
  </si>
  <si>
    <t xml:space="preserve">Die durch die Nutzer*innen zu tragenden Kosten sind abhängig von der Mieterticket-Variante und dem Leistungsumfang. </t>
  </si>
  <si>
    <t>Bereitstellung Carsharing-Angebot</t>
  </si>
  <si>
    <t>Das Wohnungsunternehmen baut ein Carsharing-Angebot auf.</t>
  </si>
  <si>
    <t>Wohnungsunternehmen</t>
  </si>
  <si>
    <t>Verkehrsunternehmen</t>
  </si>
  <si>
    <t>Abschaffung vorhandener Pkw</t>
  </si>
  <si>
    <t>Verzicht auf Neukauf Pkw</t>
  </si>
  <si>
    <t xml:space="preserve">Vorhandene Fahrzeuge werden veräußert. </t>
  </si>
  <si>
    <t>Es wird auf den Kauf eines Fahrzeugs verzichtet.</t>
  </si>
  <si>
    <t xml:space="preserve">Die Anzahl der notwendigen Stellplätze gemäß BayBO wird reduziert. </t>
  </si>
  <si>
    <t>Verzicht auf Errichtung von Stellplätzen im Objekt / Quartier</t>
  </si>
  <si>
    <t>Errichtung von Stellplätzen außerhalb / im Straßenraum</t>
  </si>
  <si>
    <t>Weiter vorhandener Bedarf an Abstellmöglichkeiten für Pkw muss ggf. im Straßenraum bedient werden.</t>
  </si>
  <si>
    <t>Nutzung Stellflächen im Straßenraum</t>
  </si>
  <si>
    <t>Errichtung zusätzlicher Flächen für Wohnen</t>
  </si>
  <si>
    <t>Nutzung der Tickets / des ÖPNV</t>
  </si>
  <si>
    <t>Nutzung Carsharing-Angebot</t>
  </si>
  <si>
    <t>Vermietung / Nutzung zusätzlicher Wohneinheiten</t>
  </si>
  <si>
    <t>Kosten</t>
  </si>
  <si>
    <t>Nutzen</t>
  </si>
  <si>
    <t>keine</t>
  </si>
  <si>
    <t>Reduzierung Miete</t>
  </si>
  <si>
    <t>Errichtung zusätzlicher begrünter Flächen</t>
  </si>
  <si>
    <t>Die nicht mehr für Stellplätze benötigten Flächen werden z.T. als Grünflächen genutzt.</t>
  </si>
  <si>
    <t>Die nicht mehr für Stellplätze benötigten Flächen werden z.T. für zusätzliche Wohneinheiten genutzt.</t>
  </si>
  <si>
    <t>Verlust Auftragsvolumen Bau</t>
  </si>
  <si>
    <t>Mietaufschlag aufgrund attraktiverer Gestaltung des Objekts</t>
  </si>
  <si>
    <t>Attraktiveres Wohnumfeld, bessere Luft, weniger Lärm</t>
  </si>
  <si>
    <t>Besseres lokales Stadtklima</t>
  </si>
  <si>
    <t>Weniger Flächenversiegelung; zusätzliche Aufträge für Herstellung und Pflege</t>
  </si>
  <si>
    <t>Höhere Finanzkraft durch zusätzliche Einwohner</t>
  </si>
  <si>
    <t>Geringere Attraktivität des Wohnumfelds durchhöhere Baudichte</t>
  </si>
  <si>
    <t>Reduzierung Miete durch Entlastung des Wohnungsmarktes</t>
  </si>
  <si>
    <t>Zusätzliche Aufträge Bau</t>
  </si>
  <si>
    <t>Z.T. ergeben sich Effekte nicht durch die Bereitstellung, sondern erst durch die Nutzung.</t>
  </si>
  <si>
    <t>Zusätzliche laufende Kosten</t>
  </si>
  <si>
    <t>Zusätzliche Mieterträge</t>
  </si>
  <si>
    <t>Zusätzliche Miete</t>
  </si>
  <si>
    <t>Entlastung des Wohnungsmarktes</t>
  </si>
  <si>
    <t>Reduzierung Mieterträge</t>
  </si>
  <si>
    <t>Geringerer Abschlag bei Mieterträgen, weil Pkw-Stellplätze verfügbar bleiben</t>
  </si>
  <si>
    <t>Erträge im Rahmen der Parkraumbewirtschaftung</t>
  </si>
  <si>
    <t>Zusätzliche Flächenversiegelung</t>
  </si>
  <si>
    <t>Zusätzliche Aufträge Erhaltung</t>
  </si>
  <si>
    <t>Verlust der Abstellmöglichkeit für Pkw vor Ort</t>
  </si>
  <si>
    <t>Reduzierung kommunaler Steuer- und sonstiger Erträge</t>
  </si>
  <si>
    <t>Entlastung Straßen</t>
  </si>
  <si>
    <t>Weniger störende Einflüsse durch Individualverkehr</t>
  </si>
  <si>
    <t>Wertverlust beim Verkauf</t>
  </si>
  <si>
    <t>Einsparung laufender Fixkosten</t>
  </si>
  <si>
    <t>Reduzierung der durch eigene Pkw lokal verursachten CO2-Emissionen</t>
  </si>
  <si>
    <t>Erhöhung der durch Pkw an anderer Stelle (außerhalb Deutschlands) verursachten CO2-Emissionen</t>
  </si>
  <si>
    <t>Folgen von Überkapazitäten in der Automobilwirtschaft</t>
  </si>
  <si>
    <t>Unterstützung Mobilitätswende</t>
  </si>
  <si>
    <t>Mietaufschlag aufgrund der Anbindung des Objekts</t>
  </si>
  <si>
    <t>Ersparnis Kapitalkosten</t>
  </si>
  <si>
    <t>keine (ggf. Verlustausgleich bei kommunalem ÖV-Anbieter)</t>
  </si>
  <si>
    <t>Höhere Attraktivität in der Außenwirkung</t>
  </si>
  <si>
    <t>Zusätzliche Arbeitsplätze; zusätzliche Aufträge für Hersteller der Fahrzeuge</t>
  </si>
  <si>
    <t>Verlust von Flächennutzungsoptionen</t>
  </si>
  <si>
    <t>Ersparnis Kosten der baulichen Anlagen</t>
  </si>
  <si>
    <t>Kosten der baulichen Anlagen und laufende Kosten</t>
  </si>
  <si>
    <t>Zusätzliche Kosten der baulichen Anlagen</t>
  </si>
  <si>
    <t>Ersparnis durch insgesamt niedrigere spezifische Bauinvestitionen aufgrund von Effizienzpotenzialen durch optimierte Flächennutzung</t>
  </si>
  <si>
    <t>Anteil Kosten der baulichen Anlagen</t>
  </si>
  <si>
    <t>Übernahme der Nutzungsentgelte</t>
  </si>
  <si>
    <t>Mietaufschlag aufgrund der Zusatzleistung</t>
  </si>
  <si>
    <t>Ersparnis durch die von Wohnungsunternehmen übernommenen Vertriebsleistungen</t>
  </si>
  <si>
    <t>keine (lediglich Nutzung Pkw weiter möglich)</t>
  </si>
  <si>
    <t>keine (lediglich Gewährleistung von Mobilität)</t>
  </si>
  <si>
    <t>keine (lediglich Befriedigung wesentlicher Mobilitätsbedürfnisse)</t>
  </si>
  <si>
    <t>Angegebene Kosten und Nutzen sind als zusätzlich zum Status quo zu verstehen.</t>
  </si>
  <si>
    <t>Zusätzliche Kosten der baulichen Anlagen und Fahrzeuge</t>
  </si>
  <si>
    <t>Zusätzliche kommunale Steuer- und sonstige Erträge</t>
  </si>
  <si>
    <t>Zusätzliche laufende Kosten (ggf. Übernahme der Nutzungsentgelte)</t>
  </si>
  <si>
    <t>Nutzungsentgelte (sofern nicht durch Wohnungsunternehmen übernommen)</t>
  </si>
  <si>
    <t>Zusätzliche Aufträge Bau un Fahrzeuge</t>
  </si>
  <si>
    <t xml:space="preserve"> Zusätzliche Kosten für bauliche Anlagen (z.B. Radwege)</t>
  </si>
  <si>
    <t>Abschlag Nutzungsentgelt ÖPNV aufgrund zusätzlichen Wettbewerbs</t>
  </si>
  <si>
    <r>
      <t xml:space="preserve">Attraktiveres Angebot durch größeres Netz; ggf. </t>
    </r>
    <r>
      <rPr>
        <b/>
        <sz val="10"/>
        <color rgb="FF000000"/>
        <rFont val="Arial Narrow"/>
        <family val="2"/>
      </rPr>
      <t>Aufschlag Nutzungsentgelte</t>
    </r>
  </si>
  <si>
    <r>
      <t xml:space="preserve">Attraktiveres Angebot durch dichtere Takte; ggf. </t>
    </r>
    <r>
      <rPr>
        <b/>
        <sz val="10"/>
        <color rgb="FF000000"/>
        <rFont val="Arial Narrow"/>
        <family val="2"/>
      </rPr>
      <t>Aufschlag Nutzungsentgelte</t>
    </r>
  </si>
  <si>
    <r>
      <rPr>
        <b/>
        <sz val="10"/>
        <color rgb="FF000000"/>
        <rFont val="Arial Narrow"/>
        <family val="2"/>
      </rPr>
      <t>Zeitverluste durch längere Wege zum Pkw; ggf. Parkgebühren</t>
    </r>
    <r>
      <rPr>
        <sz val="10"/>
        <color rgb="FF000000"/>
        <rFont val="Arial Narrow"/>
        <family val="2"/>
      </rPr>
      <t>; Verlust Sicherheit</t>
    </r>
  </si>
  <si>
    <r>
      <rPr>
        <b/>
        <sz val="10"/>
        <color rgb="FF000000"/>
        <rFont val="Arial Narrow"/>
        <family val="2"/>
      </rPr>
      <t>Zeitverluste durch längere Wege und Wartezeiten</t>
    </r>
    <r>
      <rPr>
        <sz val="10"/>
        <color rgb="FF000000"/>
        <rFont val="Arial Narrow"/>
        <family val="2"/>
      </rPr>
      <t>; Verlust Sicherheit</t>
    </r>
  </si>
  <si>
    <r>
      <t xml:space="preserve">Gesamtgesellschaftliche Perspektive
</t>
    </r>
    <r>
      <rPr>
        <sz val="10"/>
        <color rgb="FFFFFFFF"/>
        <rFont val="Arial Narrow"/>
        <family val="2"/>
      </rPr>
      <t>(nur qualitativ; Bewertung erst bei flächendeckender Umsetzung mit entsprechend großen Auswirkungen sinnvoll)</t>
    </r>
  </si>
  <si>
    <r>
      <rPr>
        <b/>
        <sz val="12"/>
        <color theme="1"/>
        <rFont val="Arial Narrow"/>
        <family val="2"/>
      </rPr>
      <t>Fettgedruckt</t>
    </r>
    <r>
      <rPr>
        <sz val="12"/>
        <color theme="1"/>
        <rFont val="Arial Narrow"/>
        <family val="2"/>
      </rPr>
      <t xml:space="preserve"> sind die Auswirkungen, für die eine quantitative Bewertung erfolgen soll.</t>
    </r>
  </si>
  <si>
    <t>Matrix Kosten und Nutzen</t>
  </si>
  <si>
    <t>Die Auswirkungen hängen in ihrem Ausmaß vom betrachteten Szenario / Modell ab.</t>
  </si>
  <si>
    <t>Anzahl der Wohneinheiten im Quartier:</t>
  </si>
  <si>
    <t>Anteil der Wohneinheiten ohne vorgesehene Stellplätze:</t>
  </si>
  <si>
    <t>Anzahl der eingesparten Stellplätze:</t>
  </si>
  <si>
    <t>Investition je Stellplatz:</t>
  </si>
  <si>
    <t>Nutzungsdauer Stellplätze:</t>
  </si>
  <si>
    <t>WE</t>
  </si>
  <si>
    <t>Anzahl</t>
  </si>
  <si>
    <t>Anteil in %</t>
  </si>
  <si>
    <t>Vorgegebene Anzahl der Stellplätze je WE</t>
  </si>
  <si>
    <t>KM</t>
  </si>
  <si>
    <t>Euro</t>
  </si>
  <si>
    <t>Jahre</t>
  </si>
  <si>
    <t>Durchschnittliche Jahreskaltmiete mit vorgegebenen Stellplätzen:</t>
  </si>
  <si>
    <t>Durchschnittliche Jahreskaltmiete mit reduzierten Stellplätzen:</t>
  </si>
  <si>
    <t>Geringerer jährlicher Mietertrag / geringere jährliche Mietkosten:</t>
  </si>
  <si>
    <t>Prüfsumme:</t>
  </si>
  <si>
    <t>Zins</t>
  </si>
  <si>
    <t>Kalkulationszinssatz:</t>
  </si>
  <si>
    <t>in % p.a.</t>
  </si>
  <si>
    <t>Barwert der Mietreduzierung:</t>
  </si>
  <si>
    <t>Ersparte Investition:</t>
  </si>
  <si>
    <t>Durchschnittliche Fläche je Stellplatz:</t>
  </si>
  <si>
    <t>in qm</t>
  </si>
  <si>
    <t>Anteil der in Grünfläche umzuwandelnden Stellplätze:</t>
  </si>
  <si>
    <t>Investition je qm:</t>
  </si>
  <si>
    <t>Laufende jährliche Kosten je qm</t>
  </si>
  <si>
    <t>Nutzungsdauer Grünflächen:</t>
  </si>
  <si>
    <t>Investition Grünflächen:</t>
  </si>
  <si>
    <t>Barwert der laufenden Kosten:</t>
  </si>
  <si>
    <t>Durchschnittlicher jährlicher Mietaufschlag je WE:</t>
  </si>
  <si>
    <t>Jährlicher zusätzlicher Mietertrag:</t>
  </si>
  <si>
    <t>Barwert des Mietaufschlags:</t>
  </si>
  <si>
    <t>Anteil der in Wohneinheiten umzuwandelnden Stellplätze:</t>
  </si>
  <si>
    <t>ZWE</t>
  </si>
  <si>
    <t>Zusätzliche Wohneinheiten:</t>
  </si>
  <si>
    <t>Quote für zusätzliche Wohneinheiten je reduziertem Stellplatz:</t>
  </si>
  <si>
    <t>QWE</t>
  </si>
  <si>
    <t>Prüfung:</t>
  </si>
  <si>
    <t>Investition je WE bei Umsetzung:</t>
  </si>
  <si>
    <t>IWEa</t>
  </si>
  <si>
    <t>Investition je WE ohne Umsetzung:</t>
  </si>
  <si>
    <t>Durchschnittlicher jährlicher Mietabschlag je WE:</t>
  </si>
  <si>
    <t>Investition zusätzliche WE:</t>
  </si>
  <si>
    <t>Ersparnis Investition bisherige WE:</t>
  </si>
  <si>
    <t>Nutzungsdauer Wohneinheiten:</t>
  </si>
  <si>
    <t>Barwert des zusätzlichen Mietertrags:</t>
  </si>
  <si>
    <t>Ersparte Investitionen bei bisherigen WE:</t>
  </si>
  <si>
    <t>Durchschnittlicher jährlicher Mietabschlag:</t>
  </si>
  <si>
    <t>Barwert des Mietabschlags:</t>
  </si>
  <si>
    <t>Durchschnittliche jährliche laufende Kosten zusätzliche WE:</t>
  </si>
  <si>
    <t>lKWE</t>
  </si>
  <si>
    <t>Euro pro WE</t>
  </si>
  <si>
    <t>Durchschnittliche jährliche laufende Kosten für zusätzliche WE:</t>
  </si>
  <si>
    <t>Wohnraum für zusätzliche Mieter*innen</t>
  </si>
  <si>
    <t>Bereitstellung Bikesharing</t>
  </si>
  <si>
    <t>Nutzung Bikesharing</t>
  </si>
  <si>
    <t>Bereitstellung Cargobikesharing</t>
  </si>
  <si>
    <t>Nutzung Cargobikesharing</t>
  </si>
  <si>
    <t>Errichtung von Fahrradstellplätzen</t>
  </si>
  <si>
    <t>Nutzung von Fahrradstellflächen</t>
  </si>
  <si>
    <t>Das Wohnungsunternehmen baut ein Bikesharing-Angebot auf.</t>
  </si>
  <si>
    <t>Das Wohnungsunternehmen baut ein Cargobikesharing-Angebot auf.</t>
  </si>
  <si>
    <t>Bereitstellung E-Ladeinfrastruktur</t>
  </si>
  <si>
    <t>Nutzung E-Ladeinfrastruktur</t>
  </si>
  <si>
    <t>Bereitstellung Information und Beratung</t>
  </si>
  <si>
    <t>Anteil der in Fahrradstellflächen umzuwandelnden Stellplätze:</t>
  </si>
  <si>
    <t>Quote für zusätzliche Fahrradstellflächen je reduziertem Stellplatz:</t>
  </si>
  <si>
    <t>Radplätze pro Stellplatz</t>
  </si>
  <si>
    <t>WE pro Stellplatz</t>
  </si>
  <si>
    <t>Zusätzliche Fahrradstellflächen</t>
  </si>
  <si>
    <t>Investition je Fahrradstellfläche:</t>
  </si>
  <si>
    <t>Nutzungsdauer Fahrradstellflächen:</t>
  </si>
  <si>
    <t>lKRa</t>
  </si>
  <si>
    <t>Durchschnittliche jährliche laufende Kosten Radstellflächen:</t>
  </si>
  <si>
    <t>Euro pro Radplatz</t>
  </si>
  <si>
    <t>Investition Fahrradstellflächen:</t>
  </si>
  <si>
    <t>Durchschnittliche jährliche laufende Kosten:</t>
  </si>
  <si>
    <t>Mietaufschlag aufgrund besserer Ausstattung des Objekts</t>
  </si>
  <si>
    <t>Nutzung von Stellplätzen im Straßenraum</t>
  </si>
  <si>
    <t>Ersatzquote für zusätzliche Stellplätze im Straßenraum je reduziertem Stellplatz:</t>
  </si>
  <si>
    <t>Investition je Ersatzstellplatz:</t>
  </si>
  <si>
    <t>Zusätzliche Stellplätze außerhalb / im Straßenraum (Ersatzstellplätze)</t>
  </si>
  <si>
    <t>Nutzungsdauer Ersatzstellplätze:</t>
  </si>
  <si>
    <t>lKStr</t>
  </si>
  <si>
    <t>Durchschnittliche jährliche laufende Kosten Ersatzstellplatz:</t>
  </si>
  <si>
    <t>Euro pro Stellplatz</t>
  </si>
  <si>
    <t>Ersatzplätze pro Stellplatz</t>
  </si>
  <si>
    <t>Investition Ersatzstellplätze:</t>
  </si>
  <si>
    <t>EPB</t>
  </si>
  <si>
    <t>Durchschnittliche jährliche Erträge aus Parkraumbewirtschaftung:</t>
  </si>
  <si>
    <t>Durchschnittliche jährliche Erträge:</t>
  </si>
  <si>
    <t>Barwert der laufenden Erträge:</t>
  </si>
  <si>
    <t>Anzahl der abgeschafften Pkw:</t>
  </si>
  <si>
    <t>Durchschnittlicher Kaufpreis (Investition) eines Pkw:</t>
  </si>
  <si>
    <t>WPkw</t>
  </si>
  <si>
    <t>Nutzungsdauer Pkw:</t>
  </si>
  <si>
    <t>APkw</t>
  </si>
  <si>
    <t>AlPkw</t>
  </si>
  <si>
    <t>Durchschnittliches Alter der abgeschafften Pkw:</t>
  </si>
  <si>
    <t>Wert der abgeschafften Pkw:</t>
  </si>
  <si>
    <t>WvPkw</t>
  </si>
  <si>
    <t>Wertverlust bei Verkauf in %:</t>
  </si>
  <si>
    <t>% des aktuellen Wertes</t>
  </si>
  <si>
    <t>KPkw</t>
  </si>
  <si>
    <t>Durchschnittliche jährliche laufende Kosten eines Pkw:</t>
  </si>
  <si>
    <t>Euro pro Pkw</t>
  </si>
  <si>
    <t>Wertverlust durch Abschaffung der Pkw:</t>
  </si>
  <si>
    <t>Jährliche gesparte laufende Kosten:</t>
  </si>
  <si>
    <t>Barwert der gesparten laufenden Kosten:</t>
  </si>
  <si>
    <t>Durchschnittliche jährliche Kosten des gebundenen Kapitals:</t>
  </si>
  <si>
    <t>Restwert</t>
  </si>
  <si>
    <t>Tilgung</t>
  </si>
  <si>
    <t>Zinskosten</t>
  </si>
  <si>
    <t>Annuität</t>
  </si>
  <si>
    <t>RNPkw</t>
  </si>
  <si>
    <t>Restnutzungsdauer Pkw:</t>
  </si>
  <si>
    <t>Barwert</t>
  </si>
  <si>
    <t>IÖV</t>
  </si>
  <si>
    <t>Investitionen in ÖPNV aufgrund der zusätzlichen Nachfrage:</t>
  </si>
  <si>
    <t>Anteil der Kommunen an den Investitionen:</t>
  </si>
  <si>
    <t>%</t>
  </si>
  <si>
    <t>AIKo</t>
  </si>
  <si>
    <t>AIVU</t>
  </si>
  <si>
    <t>Anteil der Verkehrsunternehmen an den Investitionen:</t>
  </si>
  <si>
    <t>Nutzungsdauer ÖPNV-Infrastruktur:</t>
  </si>
  <si>
    <t>Durchschnittliche jährliche zusätzliche laufende Kosten durch Verdichtung ÖPNV:</t>
  </si>
  <si>
    <t>AufNetz</t>
  </si>
  <si>
    <t>AufTakt</t>
  </si>
  <si>
    <t>NEÖV</t>
  </si>
  <si>
    <t>Durchschnittliche jährliche Summe Nutzungsentgelte ÖPNV</t>
  </si>
  <si>
    <t>Aufschlag Nutzungsentgelte für zusätzliche Infrastruktur in %</t>
  </si>
  <si>
    <t>Aufschlag Nutzungsentgelte für dichteren Takt in %</t>
  </si>
  <si>
    <t>Investition ÖPNV Anteil Kommunen:</t>
  </si>
  <si>
    <t>Investition ÖPNV Anteil Verkehrsunternehmen:</t>
  </si>
  <si>
    <t>Durchschnittliche jährlicher Aufschlag Nutzungsentgelte Infrastruktur:</t>
  </si>
  <si>
    <t>Barwert der Nutzungsentgelte Infrastruktur:</t>
  </si>
  <si>
    <t>Durchschnittliche jährlicher Aufschlag Nutzungsentgelte dichterer Takt:</t>
  </si>
  <si>
    <t>Barwert der Nutzungsentgelte dichterer Takt:</t>
  </si>
  <si>
    <t>Tickets pro Stellplatz</t>
  </si>
  <si>
    <t>Quote für bereitzustellende Mietertickets je reduziertem Stellplatz:</t>
  </si>
  <si>
    <t>Anzahl der Mietertickets:</t>
  </si>
  <si>
    <t>lKTi</t>
  </si>
  <si>
    <t>Durch Wohnungsunternehmen übernommene jährliche Nutzungsentgelte je Mieterticket:</t>
  </si>
  <si>
    <t>Laufzeit der Bereitstellung von Mietertickets:</t>
  </si>
  <si>
    <t>Durchschnittliche jährliche laufende Kosten durch höhere Nutzungsintensität ÖPNV:</t>
  </si>
  <si>
    <t>Euro pro Mieterticket</t>
  </si>
  <si>
    <t>Zeitverluste durch längere Wege und Wartezeiten; Verlust Sicherheit</t>
  </si>
  <si>
    <t>Die nicht mehr für Stellplätze benötigten Flächen werden z.T. für zusätzliche Fahrradstellflächen genutzt.</t>
  </si>
  <si>
    <t>lKTiM</t>
  </si>
  <si>
    <t>lKTiW</t>
  </si>
  <si>
    <t>Durch Mieter*innen zu tragende jährliche Nutzungsentgelte je Mieterticket:</t>
  </si>
  <si>
    <t>Jährliche von Wohnungsunternehmen übernommene Nutzungsentgelte:</t>
  </si>
  <si>
    <t>Barwert der von Wohnungsunternehmen übernommenen Nutzungsentgelte:</t>
  </si>
  <si>
    <t>Jährliche von Mieter*innen zu tragende Nutzungsentgelte:</t>
  </si>
  <si>
    <t>Barwert der von Mieter*innen zu tragenden Nutzungsentgelte:</t>
  </si>
  <si>
    <t>Quote für Carsharing-Einheiten (Fläche und Fahrzeug) je reduziertem Stellplatz:</t>
  </si>
  <si>
    <t>Carsharing-Einheiten pro Stellplatz</t>
  </si>
  <si>
    <t>Anzahl Carsharing-Einheiten:</t>
  </si>
  <si>
    <t>Investition durch Wohnungsunternehmen je Carsharing-Einheit:</t>
  </si>
  <si>
    <t>Nutzungsdauer Carsharing-Einheit:</t>
  </si>
  <si>
    <t>lKCar</t>
  </si>
  <si>
    <t>Euro pro Carsharing-Einheit</t>
  </si>
  <si>
    <t>Investition Wohnungsunternehmen Carsharing:</t>
  </si>
  <si>
    <t>Anmerkung:</t>
  </si>
  <si>
    <t xml:space="preserve">Es wird davon ausgegangen, dass das Angebot durch einen Carsharing-Partner bereitgestellt und betrieben wird. </t>
  </si>
  <si>
    <t>Betrachtet werden hier nur die Kosten- und Nutzeneffekte der einbezogenen Akteure.</t>
  </si>
  <si>
    <t>Spezifische Effekte beim Carsharing-Partner bleiben unberücksichtigt.</t>
  </si>
  <si>
    <t>AbCar</t>
  </si>
  <si>
    <t>Durchschnittliches jährliches Nutzungsentgelt Carsharing je WE:</t>
  </si>
  <si>
    <t>Durchschnittliches jährliches Nutzungsentgelt Mieter*innen:</t>
  </si>
  <si>
    <t>Barwert der Nutzungsentgelte:</t>
  </si>
  <si>
    <t>Zusätzliche laufende Kosten; Belastung Straßen (durch zusätzliche Fahrzeuge)</t>
  </si>
  <si>
    <t>Abschlag Nutzungsentgelte ÖPNV durch Wettbewerb in %</t>
  </si>
  <si>
    <t>Jährlicher Abschlag Nutzungsentgelte ÖPNV durch Wettbewerb:</t>
  </si>
  <si>
    <t>Barwert der Abschläge Nutzungsentgelt ÖPNV:</t>
  </si>
  <si>
    <t>Quote für Bikesharing-Einheiten (Fläche und Fahrzeug) je reduziertem Stellplatz:</t>
  </si>
  <si>
    <t>Anzahl Bikesharing-Einheiten:</t>
  </si>
  <si>
    <t>Investition durch Wohnungsunternehmen je Bikesharing-Einheit:</t>
  </si>
  <si>
    <t>Nutzungsdauer Bikesharing-Einheit:</t>
  </si>
  <si>
    <t>Durchschnittliches jährliches Nutzungsentgelt Bikesharing je WE:</t>
  </si>
  <si>
    <t>Investition Wohnungsunternehmen Bikesharing:</t>
  </si>
  <si>
    <t>lKBik</t>
  </si>
  <si>
    <t>AbBik</t>
  </si>
  <si>
    <t>Bikesharing-Einheiten pro Stellplatz</t>
  </si>
  <si>
    <t>Euro pro Bikesharing-Einheit</t>
  </si>
  <si>
    <t xml:space="preserve">Es wird davon ausgegangen, dass das Angebot durch einen Bikesharing-Partner bereitgestellt und betrieben wird. </t>
  </si>
  <si>
    <t>Spezifische Effekte beim Bikesharing-Partner bleiben unberücksichtigt.</t>
  </si>
  <si>
    <t>Quote für Cargobikesharing-Einheiten (Fläche und Fahrzeug) je reduziertem Stellplatz:</t>
  </si>
  <si>
    <t>Cargobikesharing-Einheiten pro Stellplatz</t>
  </si>
  <si>
    <t>Anzahl Cargobikesharing-Einheiten:</t>
  </si>
  <si>
    <t>Investition durch Wohnungsunternehmen je Cargobikesharing-Einheit:</t>
  </si>
  <si>
    <t>Nutzungsdauer Cargobikesharing-Einheit:</t>
  </si>
  <si>
    <t>Euro pro Cargobikesharing-Einheit</t>
  </si>
  <si>
    <t>Durchschnittliches jährliches Nutzungsentgelt Cargobikesharing je WE:</t>
  </si>
  <si>
    <t>Investition Wohnungsunternehmen Cargobikesharing:</t>
  </si>
  <si>
    <t xml:space="preserve">Es wird davon ausgegangen, dass das Angebot durch einen Cargobikesharing-Partner bereitgestellt und betrieben wird. </t>
  </si>
  <si>
    <t>Spezifische Effekte beim Cargobikesharing-Partner bleiben unberücksichtigt.</t>
  </si>
  <si>
    <t>lKCgo</t>
  </si>
  <si>
    <t>AbCgo</t>
  </si>
  <si>
    <t>Das Wohnungsunternehmen baut ein E-Lade-Angebot auf.</t>
  </si>
  <si>
    <t>Zusätzliche laufende Kosten (ggf. Übernahme der Energiekosten)</t>
  </si>
  <si>
    <t>lKELa</t>
  </si>
  <si>
    <t>AbELa</t>
  </si>
  <si>
    <t>Zusätzliche laufende Kosten; Belastung Straßen/Radwege (durch zusätzliche Fahrzeuge)</t>
  </si>
  <si>
    <t>Anzahl E-Lade-Einheiten:</t>
  </si>
  <si>
    <t>Investition durch Wohnungsunternehmen je E-Lade-Einheit:</t>
  </si>
  <si>
    <t>Nutzungsdauer E-Lade-Einheit:</t>
  </si>
  <si>
    <t>Euro pro E-Lade-Einheit</t>
  </si>
  <si>
    <t xml:space="preserve">Es wird davon ausgegangen, dass das Angebot durch einen E-Lade-Partner bereitgestellt und betrieben wird. </t>
  </si>
  <si>
    <t>Spezifische Effekte beim E-Lade-Partner bleiben unberücksichtigt.</t>
  </si>
  <si>
    <t>Investition Wohnungsunternehmen E-Ladeinfrastruktur:</t>
  </si>
  <si>
    <t>Durchschnittliches jährliches Nutzungsentgelt E-Ladeinfrastruktur je WE:</t>
  </si>
  <si>
    <t>Quote für E-Lade-Einheiten (Fläche und Fahrzeug) je reduziertem Stellplatz:</t>
  </si>
  <si>
    <t>E-Lade-Einheiten pro Stellplatz</t>
  </si>
  <si>
    <t>Das Wohnungsunternehmen baut ein Informations- und Beratungsangebot auf.</t>
  </si>
  <si>
    <t>Betrieb Information und Beratung</t>
  </si>
  <si>
    <t>Z.T. ergeben sich Effekte nicht durch die Bereitstellung, sondern erst durch den Betrieb.</t>
  </si>
  <si>
    <t>Zusätzliche Kosten der baulichen Anlagen
und Reduzierung Miete durch Entlastung des Wohnungsmarktes</t>
  </si>
  <si>
    <t>Zusätzliche Aufträge Erhaltung; Unterstützung Mobilitätswende</t>
  </si>
  <si>
    <t>Mieterticket - Kosten-Nutzen-Analyse</t>
  </si>
  <si>
    <t>Gesamt:</t>
  </si>
  <si>
    <t>Saldo:</t>
  </si>
  <si>
    <t>Relevanz</t>
  </si>
  <si>
    <t>Auswahl</t>
  </si>
  <si>
    <t>Filter Relevanz</t>
  </si>
  <si>
    <t>lKoStP</t>
  </si>
  <si>
    <t>Laufende jährliche Kosten je Stellplatz</t>
  </si>
  <si>
    <t>Tickets pro gesparten Stellplatz</t>
  </si>
  <si>
    <t>Stellplatzablöse:</t>
  </si>
  <si>
    <t>QAbl</t>
  </si>
  <si>
    <t>Ablösebetrag je einbezogenen Stellplatz</t>
  </si>
  <si>
    <t>AblStP</t>
  </si>
  <si>
    <t>Ablösequote:</t>
  </si>
  <si>
    <t>Stellplatzschlüssel mit Mobilitätskonzept</t>
  </si>
  <si>
    <t>oder</t>
  </si>
  <si>
    <t>Anzahl pro WE</t>
  </si>
  <si>
    <t>Erläuterungen für diesen Beispielfall:</t>
  </si>
  <si>
    <t>Gesamte zusätzliche Grünfläche</t>
  </si>
  <si>
    <t>GfGr</t>
  </si>
  <si>
    <t>Gesamtanzahl zusätzliche Wohneinheiten</t>
  </si>
  <si>
    <t>Gesamtanzahl zusätzliche Fahrradstellflächen</t>
  </si>
  <si>
    <t>ZRa</t>
  </si>
  <si>
    <t>ZCar</t>
  </si>
  <si>
    <t>ZBik</t>
  </si>
  <si>
    <t>ZCgo</t>
  </si>
  <si>
    <t>ZELa</t>
  </si>
  <si>
    <t>Erarbeitung, Evaluierung und Überprüfung des Mobilitätskonzepts verursachen einmalige und laufende Kosten.</t>
  </si>
  <si>
    <t>Erarbeitung und Umsetzung des Mobilitätskonzepts i.e.S.</t>
  </si>
  <si>
    <t>Kosten für die Erarbeitung und Evaluierung des Konzepts</t>
  </si>
  <si>
    <t>Kosten für die Überprüfung des Konzepts</t>
  </si>
  <si>
    <t>Erstellung des Konzepts durch Wohnungsunternehmen (einmalige Kosten):</t>
  </si>
  <si>
    <t>lKEv</t>
  </si>
  <si>
    <t>Durchschnittliche jährliche laufende Kosten der Evaluierung durch das Wohnungsunternehmen:</t>
  </si>
  <si>
    <t>lKPr</t>
  </si>
  <si>
    <t>Durchschnittliche jährliche laufende Kosten der Überprüfung durch die Kommune:</t>
  </si>
  <si>
    <t>NDKo</t>
  </si>
  <si>
    <t>Nutzungsdauer / Bindungszeitraum Konzept</t>
  </si>
  <si>
    <t>Investition Wohnungsunternehmen Konzept:</t>
  </si>
  <si>
    <t>Durchschnittliche jährliche laufende Kosten Wohnungsunternehmen:</t>
  </si>
  <si>
    <t>Durchschnittliche jährliche laufende Kosten Kommune:</t>
  </si>
  <si>
    <t>für</t>
  </si>
  <si>
    <t>KNA-Werte Details</t>
  </si>
  <si>
    <t>Ergebnis Kosten und Nutzen</t>
  </si>
  <si>
    <t>Anzahl der Wohneinheiten im Quartier (ohne Mobilitätskonzept)</t>
  </si>
  <si>
    <t>Investition je Stellplatz</t>
  </si>
  <si>
    <t>Nutzungsdauer Stellplätze</t>
  </si>
  <si>
    <t>Kalkulationszinssatz</t>
  </si>
  <si>
    <t>Ablösequote bezogen auf die nicht erstellten Stellplätze</t>
  </si>
  <si>
    <t>Anteil der in Grünfläche umzuwandelnden Stellplätze</t>
  </si>
  <si>
    <t>Durchschnittliche Fläche je Stellplatz</t>
  </si>
  <si>
    <t>Investition je qm</t>
  </si>
  <si>
    <t>Nutzungsdauer Grünflächen</t>
  </si>
  <si>
    <t>Anteil der in Wohneinheiten umzuwandelnden Stellplätze</t>
  </si>
  <si>
    <t>Quote für zusätzliche Wohneinheiten je reduziertem Stellplatz</t>
  </si>
  <si>
    <t>Investition je WE bei Umsetzung Mob.-Konzept</t>
  </si>
  <si>
    <t>Investition je WE ohne Umsetzung</t>
  </si>
  <si>
    <t>Nutzungsdauer Wohneinheiten</t>
  </si>
  <si>
    <t>Durchschnittliche jährliche laufende Kosten zusätzliche WE</t>
  </si>
  <si>
    <t>Anteil der in Fahrradstellflächen umzuwandelnden Stellplätze</t>
  </si>
  <si>
    <t>Quote für zusätzliche Fahrradstellflächen je reduziertem Stellplatz</t>
  </si>
  <si>
    <t>Investition je Fahrradstellfläche</t>
  </si>
  <si>
    <t>Nutzungsdauer Fahrradstellflächen</t>
  </si>
  <si>
    <t>Durchschnittliche jährliche laufende Kosten Radstellflächen</t>
  </si>
  <si>
    <t>Ersatzquote für zusätzliche Stellplätze im Straßenraum je reduziertem Stellplatz</t>
  </si>
  <si>
    <t>Investition je Ersatzstellplatz</t>
  </si>
  <si>
    <t>Nutzungsdauer Ersatzstellplätze</t>
  </si>
  <si>
    <t>Durchschnittliche jährliche laufende Kosten Ersatzstellplatz</t>
  </si>
  <si>
    <t>Durchschnittliche jährliche Erträge aus Parkraumbewirtschaftung</t>
  </si>
  <si>
    <t>Anzahl der abgeschafften Pkw</t>
  </si>
  <si>
    <t>Durchschnittlicher Kaufpreis (Investition) eines Pkw</t>
  </si>
  <si>
    <t>Nutzungsdauer Pkw</t>
  </si>
  <si>
    <t>Durchschnittliches Alter der abgeschafften Pkw</t>
  </si>
  <si>
    <t>Wertverlust bei Verkauf in %</t>
  </si>
  <si>
    <t>Durchschnittliche jährliche laufende Kosten eines Pkw</t>
  </si>
  <si>
    <t>Investitionen in ÖPNV aufgrund der zusätzlichen Nachfrage</t>
  </si>
  <si>
    <t>Anteil der Kommunen an den Investitionen</t>
  </si>
  <si>
    <t>Durchschnittliche jährliche zusätzliche laufende Kosten durch Verdichtung ÖPNV</t>
  </si>
  <si>
    <t>Nutzungsdauer ÖPNV-Infrastruktur</t>
  </si>
  <si>
    <t>Quote für bereitzustellende Mietertickets je reduziertem Stellplatz</t>
  </si>
  <si>
    <t>Anzahl der Mietertickets</t>
  </si>
  <si>
    <t>Durch Wohnungsunternehmen übernommene jährliche Nutzungsentgelte je Mieterticket</t>
  </si>
  <si>
    <t>Durch Mieter*innen zu tragende jährliche Nutzungsentgelte je Mieterticket</t>
  </si>
  <si>
    <t>Laufzeit der Bereitstellung von Mietertickets</t>
  </si>
  <si>
    <t>Durchschnittliche jährliche laufende Kosten durch höhere Nutzungsintensität ÖPNV</t>
  </si>
  <si>
    <t>Quote für Carsharing-Einheiten (Fläche und Fahrzeug) je reduziertem Stellplatz</t>
  </si>
  <si>
    <t>Anzahl Carsharing-Einheiten</t>
  </si>
  <si>
    <t>Investition durch Wohnungsunternehmen je Carsharing-Einheit</t>
  </si>
  <si>
    <t>Nutzungsdauer Carsharing-Einheit</t>
  </si>
  <si>
    <t>Durchschnittliches jährliches Nutzungsentgelt Carsharing je WE</t>
  </si>
  <si>
    <t>Quote für Bikesharing-Einheiten (Fläche und Fahrzeug) je reduziertem Stellplatz</t>
  </si>
  <si>
    <t>Anzahl Bikesharing-Einheiten</t>
  </si>
  <si>
    <t>Investition durch Wohnungsunternehmen je Bikesharing-Einheit</t>
  </si>
  <si>
    <t>Nutzungsdauer Bikesharing-Einheit</t>
  </si>
  <si>
    <t>Durchschnittliches jährliches Nutzungsentgelt Bikesharing je WE</t>
  </si>
  <si>
    <t>Quote für Cargobikesharing-Einheiten (Fläche und Fahrzeug) je reduziertem Stellplatz</t>
  </si>
  <si>
    <t>Anzahl Cargobikesharing-Einheiten</t>
  </si>
  <si>
    <t>Investition durch Wohnungsunternehmen je Cargobikesharing-Einheit</t>
  </si>
  <si>
    <t>Nutzungsdauer Cargobikesharing-Einheit</t>
  </si>
  <si>
    <t>Durchschnittliches jährliches Nutzungsentgelt Cargobikesharing je WE</t>
  </si>
  <si>
    <t>Quote für E-Lade-Einheiten (Fläche und Fahrzeug) je reduziertem Stellplatz</t>
  </si>
  <si>
    <t>Anzahl E-Lade-Einheiten</t>
  </si>
  <si>
    <t>Investition durch Wohnungsunternehmen je E-Lade-Einheit</t>
  </si>
  <si>
    <t>Nutzungsdauer E-Lade-Einheit</t>
  </si>
  <si>
    <t>Durchschnittliches jährliches Nutzungsentgelt E-Ladeinfrastruktur je WE</t>
  </si>
  <si>
    <t>Erstellung des Konzepts durch Wohnungsunternehmen (einmalige Kosten)</t>
  </si>
  <si>
    <t>Durchschnittliche jährliche laufende Kosten der Überprüfung durch die Kommune</t>
  </si>
  <si>
    <t>Vorgegebene Anzahl der Stellplätze je WE gemäß Stellplatzsatzung</t>
  </si>
  <si>
    <t>(Stellplatzschlüssel ohne Mob.-Konzept)</t>
  </si>
  <si>
    <t>Mögliche Eingaben</t>
  </si>
  <si>
    <t>Angaben zum Quartier</t>
  </si>
  <si>
    <t>Angaben zu den Stellplätzen</t>
  </si>
  <si>
    <t>Maßnahmen Mobiltätskonzept - Zusätzliche Fahrradstellflächen</t>
  </si>
  <si>
    <t>Maßnahmen Mobiltätskonzept - Bereitstellung Mieterticket</t>
  </si>
  <si>
    <t>Maßnahmen Mobiltätskonzept - Bereitstellung Carsharing-Angebot</t>
  </si>
  <si>
    <t>Maßnahmen Mobiltätskonzept - Bereitstellung Bikesharing-Angebot</t>
  </si>
  <si>
    <t>Maßnahmen Mobiltätskonzept - Bereitstellung Cargobikesharing-Angebot bzw. weitere Bausteine</t>
  </si>
  <si>
    <t>Maßnahmen Mobiltätskonzept - Bereitstellung E-Ladeinfrastruktur</t>
  </si>
  <si>
    <t>Begleitende Maßnahmen - Erarbeitung und Umsetzung des Mobilitätskonzepts i.e.S.</t>
  </si>
  <si>
    <t>Begleitende Maßnahmen - Zusätzliche Stellplätze im Straßenraum</t>
  </si>
  <si>
    <t>Maßnahmen Mobiltätskonzept - Erweiterung ÖPNV-Angebot</t>
  </si>
  <si>
    <t>Potenziale durch Mobiltätskonzept - Zusätzliche Grünflächen</t>
  </si>
  <si>
    <t>Potenziale durch Mobiltätskonzept - Zusätzliche Wohneinheiten</t>
  </si>
  <si>
    <t>Potenziale durch Mobiltätskonzept - Abgeschaffte Pkw</t>
  </si>
  <si>
    <t>Potenziale durch Mobilitätskonzept - Veränderungen Mietniveau</t>
  </si>
  <si>
    <t>...zusätzlicher Radstellflächen</t>
  </si>
  <si>
    <t>…erweiterter ÖPNV-Angebote</t>
  </si>
  <si>
    <t>…des bereitgestellten Mietertickets</t>
  </si>
  <si>
    <t>…des Cargobikesharing-Angebots oder weiterer Bausteine des Mobilitätskonzepts</t>
  </si>
  <si>
    <t>…der Bereitstellung der E-Ladeinfrastruktur</t>
  </si>
  <si>
    <t>…des Bikesharing-Angebots</t>
  </si>
  <si>
    <t>…des Carsharing-Angebots</t>
  </si>
  <si>
    <t>…zusätzlicher Parkflächen im Straßenraum</t>
  </si>
  <si>
    <t>…zusätzlicher Grünflächen</t>
  </si>
  <si>
    <t>Mit * markierte Angaben sind zwingend erforderlich.</t>
  </si>
  <si>
    <t>Weitere Angaben sind erforderlich, wenn die betreffenden Maßnahmen/Potenziale betrachtet werden sollen.</t>
  </si>
  <si>
    <t>Einzelne Felder können ggf. frei bleiben. Eine automatische Überprüfung erfolgt nicht!</t>
  </si>
  <si>
    <t>*</t>
  </si>
  <si>
    <t>StM</t>
  </si>
  <si>
    <t>Durchschnittliche Stellplatzmiete pro Jahr</t>
  </si>
  <si>
    <t>Durchschnittliche Jahreskaltmiete je WE (bei Stellplätzen gemäß Stellplatzsatzung)</t>
  </si>
  <si>
    <t>Durchschnittliche Jahreskaltmiete je WE (bei reduzierten Stellplätzen)</t>
  </si>
  <si>
    <t>Durchschnittliche Jahreskaltmiete je WE bei Stellplätzen gemäß Satzung:</t>
  </si>
  <si>
    <t>Durchschnittliche Jahreskaltmiete je WE bei reduzierten Stellplätzen:</t>
  </si>
  <si>
    <t>Durchschnittliche Jahreskaltmiete je WE MIT Stellplatzmiete gemäß Satzung:</t>
  </si>
  <si>
    <t>Durchschnittliche Jahreskaltmiete je WE MIT Stellplatzmiete bei reduzierten Stellplätzen:</t>
  </si>
  <si>
    <t>lKIB</t>
  </si>
  <si>
    <t>Durchschnittliche jährliche laufende Kosten für Information und Beratung durch Wohnungsunternehmen:</t>
  </si>
  <si>
    <t>Barwert der laufenden Kosten Kommune</t>
  </si>
  <si>
    <t>Barwert der laufenden Kosten Wohnungsunternehmen:</t>
  </si>
  <si>
    <t>Durchschnittliche jährliche laufende Kosten für Information und Beratung (WU)</t>
  </si>
  <si>
    <t>Durchschnittliche jährliche laufende Kosten der Evaluierung durch das WU</t>
  </si>
  <si>
    <t>AIWU</t>
  </si>
  <si>
    <t>Anteil des Wohnungsunternehmens an den Investitionen</t>
  </si>
  <si>
    <t>Anteil der Wohnungsunternehmen an den Investitionen:</t>
  </si>
  <si>
    <t>Investition ÖPNV Anteil Wohnungsunternehmen:</t>
  </si>
  <si>
    <t>Investition durch Kommune je Carsharing-Einheit</t>
  </si>
  <si>
    <t>Investition durch Verkehrsunternehmen je Carsharing-Einheit</t>
  </si>
  <si>
    <t>Durchschnittliche jährliche laufende Kosten des WU je Carsharing-Einheit</t>
  </si>
  <si>
    <t>lKCarK</t>
  </si>
  <si>
    <t>lKCarV</t>
  </si>
  <si>
    <t>Durchschnittliche jährliche laufende Kosten der Kommune je Carsharing-Einheit</t>
  </si>
  <si>
    <t>Durchschnittliche jährliche laufende Kosten des VU je Carsharing-Einheit</t>
  </si>
  <si>
    <t>Investition durch Kommune je Bikesharing-Einheit</t>
  </si>
  <si>
    <t>Investition durch Verkehrsunternehmen je Bikesharing-Einheit</t>
  </si>
  <si>
    <t>Durchschnittliche jährliche laufende Kosten des WU je Bikesharing-Einheit</t>
  </si>
  <si>
    <t>Durchschnittliche jährliche laufende Kosten der Kommune je Bikesharing-Einheit</t>
  </si>
  <si>
    <t>Durchschnittliche jährliche laufende Kosten des VU je Bikesharing-Einheit</t>
  </si>
  <si>
    <t>lKBikK</t>
  </si>
  <si>
    <t>lKBikV</t>
  </si>
  <si>
    <t>Investition durch Kommune je Cargobikesharing-Einheit</t>
  </si>
  <si>
    <t>Investition durch Verkehrsunternehmen je Cargobikesharing-Einheit</t>
  </si>
  <si>
    <t>Durchschnittliche jährliche laufende Kosten des WU je Cargobikesharing-Einheit</t>
  </si>
  <si>
    <t>Durchschnittliche jährliche laufende Kosten der Kommune je Cargobikesharing-Einheit</t>
  </si>
  <si>
    <t>Durchschnittliche jährliche laufende Kosten des VU je Cargobikesharing-Einheit</t>
  </si>
  <si>
    <t>lKCgoV</t>
  </si>
  <si>
    <t>lKCgoK</t>
  </si>
  <si>
    <t>Investition durch Kommune je E-Lade-Einheit</t>
  </si>
  <si>
    <t>Investition durch Verkehrsunternehmen je E-Lade-Einheit</t>
  </si>
  <si>
    <t>lKELaK</t>
  </si>
  <si>
    <t>lKELaV</t>
  </si>
  <si>
    <t>Durchschnittliche jährliche laufende Kosten der Kommune je E-Lade-Einheit</t>
  </si>
  <si>
    <t>Durchschnittliche jährliche laufende Kosten des VU je E-Lade-Einheit</t>
  </si>
  <si>
    <t>Durchschnittliche jährliche laufende Kosten des WU je E-Lade-Einheit</t>
  </si>
  <si>
    <t>Investition durch Kommune je Carsharing-Einheit:</t>
  </si>
  <si>
    <t>Investition durch Verkehrsunternehmen je Carsharing-Einheit:</t>
  </si>
  <si>
    <t>Durchschnittliche jährliche laufende Kosten des WU je Carsharing-Einheit:</t>
  </si>
  <si>
    <t>Durchschnittliche jährliche laufende Kosten der Kommune je Carsharing-Einheit:</t>
  </si>
  <si>
    <t>Durchschnittliche jährliche laufende Kosten des VU je Carsharing-Einheit:</t>
  </si>
  <si>
    <t>Investition Kommune Carsharing:</t>
  </si>
  <si>
    <t>Barwert der laufenden Kosten Kommune:</t>
  </si>
  <si>
    <t>Investition VU Carsharing:</t>
  </si>
  <si>
    <t>Durchschnittliche jährliche laufende Kosten VU:</t>
  </si>
  <si>
    <t>Barwert der laufenden Kosten VU:</t>
  </si>
  <si>
    <t>Investition durch Kommune je Bikesharing-Einheit:</t>
  </si>
  <si>
    <t>Investition durch Verkehrsunternehmen je Bikesharing-Einheit:</t>
  </si>
  <si>
    <t>Durchschnittliche jährliche laufende Kosten WU je Bikesharing-Einheit:</t>
  </si>
  <si>
    <t>Durchschnittliche jährliche laufende Kosten Kommune je Bikesharing-Einheit:</t>
  </si>
  <si>
    <t>Durchschnittliche jährliche laufende Kosten VU je Bikesharing-Einheit:</t>
  </si>
  <si>
    <t>Investition Kommune Bikesharing:</t>
  </si>
  <si>
    <t>Investition VU Bikesharing:</t>
  </si>
  <si>
    <t>Investition durch Kommune je Cargobikesharing-Einheit:</t>
  </si>
  <si>
    <t>Investition durch Verkehrsunternehmen je Cargobikesharing-Einheit:</t>
  </si>
  <si>
    <t>Durchschnittliche jährliche laufende Kosten WU je Cargobikesharing-Einheit:</t>
  </si>
  <si>
    <t>Durchschnittliche jährliche laufende Kosten Kommune je Cargobikesharing-Einheit:</t>
  </si>
  <si>
    <t>Durchschnittliche jährliche laufende Kosten VU je Cargobikesharing-Einheit:</t>
  </si>
  <si>
    <t>Investition durch Kommune je E-Lade-Einheit:</t>
  </si>
  <si>
    <t>Investition durch Verkehrsunternehmen je E-Lade-Einheit:</t>
  </si>
  <si>
    <t>Durchschnittliche jährliche laufende Kosten WU je E-Lade-Einheit:</t>
  </si>
  <si>
    <t>Durchschnittliche jährliche laufende Kosten Kommune je E-Lade-Einheit:</t>
  </si>
  <si>
    <t>Durchschnittliche jährliche laufende Kosten VU je E-Lade-Einheit:</t>
  </si>
  <si>
    <t>Investition Kommune Cargobikesharing:</t>
  </si>
  <si>
    <t>Investition VU Cargobikesharing:</t>
  </si>
  <si>
    <t>Investition Kommune E-Ladeinfrastruktur:</t>
  </si>
  <si>
    <t>Investition VU E-Ladeinfrastruktur:</t>
  </si>
  <si>
    <t>Bei den Eingaben sollte möglichst auf die Daten des konkreten Vorhabens zurückgegriffen werden. Sofern diese Daten nicht vorliegen, können für wesentliche Eingaben die ausgewiesenen Erfahrungswerte als Orientierung für eine Schätzung dienen.</t>
  </si>
  <si>
    <t>Durchschnittliche geringere jährliche Kosten für Mieter*innen durch effizientere Bebauung je WE</t>
  </si>
  <si>
    <t>Durchschnittliche zusätzliche jährliche Kosten für Mieter*innen je WE aufgrund …</t>
  </si>
  <si>
    <t>Beispiel</t>
  </si>
  <si>
    <t>Nutzungsentgelte (von Wohnungsunternehmen)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</si>
</sst>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0\ &quot;€&quot;;[Red]\-#,##0\ &quot;€&quot;"/>
    <numFmt numFmtId="8" formatCode="#,##0.00\ &quot;€&quot;;[Red]\-#,##0.00\ &quot;€&quot;"/>
    <numFmt numFmtId="164" formatCode="#,##0.0"/>
  </numFmts>
  <fonts count="23" x14ac:knownFonts="1">
    <font>
      <sz val="11"/>
      <color theme="1"/>
      <name val="Calibri"/>
      <family val="2"/>
      <scheme val="minor"/>
    </font>
    <font>
      <b/>
      <sz val="12"/>
      <color rgb="FFFFFFFF"/>
      <name val="Arial"/>
      <family val="2"/>
    </font>
    <font>
      <sz val="10"/>
      <color rgb="FF000000"/>
      <name val="Arial Narrow"/>
      <family val="2"/>
    </font>
    <font>
      <sz val="12"/>
      <color rgb="FF000000"/>
      <name val="Arial"/>
      <family val="2"/>
    </font>
    <font>
      <sz val="10"/>
      <color rgb="FF000000"/>
      <name val="Arial Narrow"/>
      <family val="2"/>
    </font>
    <font>
      <b/>
      <sz val="12"/>
      <color rgb="FFFFFFFF"/>
      <name val="Arial"/>
      <family val="2"/>
    </font>
    <font>
      <b/>
      <sz val="10"/>
      <color rgb="FF000000"/>
      <name val="Arial Narrow"/>
      <family val="2"/>
    </font>
    <font>
      <sz val="10"/>
      <color rgb="FFFFFFFF"/>
      <name val="Arial Narrow"/>
      <family val="2"/>
    </font>
    <font>
      <sz val="12"/>
      <color theme="1"/>
      <name val="Arial Narrow"/>
      <family val="2"/>
    </font>
    <font>
      <b/>
      <sz val="12"/>
      <color theme="1"/>
      <name val="Arial Narrow"/>
      <family val="2"/>
    </font>
    <font>
      <b/>
      <sz val="12"/>
      <color theme="1"/>
      <name val="Arial"/>
      <family val="2"/>
    </font>
    <font>
      <sz val="10"/>
      <color rgb="FFFF0000"/>
      <name val="Arial Narrow"/>
      <family val="2"/>
    </font>
    <font>
      <b/>
      <sz val="10"/>
      <name val="Arial Narrow"/>
      <family val="2"/>
    </font>
    <font>
      <sz val="10"/>
      <name val="Arial Narrow"/>
      <family val="2"/>
    </font>
    <font>
      <sz val="11"/>
      <color theme="1"/>
      <name val="Arial"/>
      <family val="2"/>
    </font>
    <font>
      <sz val="8"/>
      <color theme="0" tint="-0.34998626667073579"/>
      <name val="Arial"/>
      <family val="2"/>
    </font>
    <font>
      <b/>
      <sz val="14"/>
      <name val="Arial"/>
      <family val="2"/>
    </font>
    <font>
      <sz val="14"/>
      <name val="Arial"/>
      <family val="2"/>
    </font>
    <font>
      <sz val="8"/>
      <color theme="1"/>
      <name val="Arial"/>
      <family val="2"/>
    </font>
    <font>
      <sz val="9"/>
      <color indexed="81"/>
      <name val="Tahoma"/>
      <charset val="1"/>
    </font>
    <font>
      <sz val="9"/>
      <color indexed="81"/>
      <name val="Tahoma"/>
      <family val="2"/>
    </font>
    <font>
      <b/>
      <sz val="9"/>
      <color indexed="81"/>
      <name val="Tahoma"/>
      <family val="2"/>
    </font>
    <font>
      <sz val="8"/>
      <color theme="1"/>
      <name val="Calibri"/>
      <family val="2"/>
      <scheme val="minor"/>
    </font>
  </fonts>
  <fills count="8">
    <fill>
      <patternFill patternType="none"/>
    </fill>
    <fill>
      <patternFill patternType="gray125"/>
    </fill>
    <fill>
      <patternFill patternType="solid">
        <fgColor rgb="FF00436C"/>
        <bgColor indexed="64"/>
      </patternFill>
    </fill>
    <fill>
      <patternFill patternType="solid">
        <fgColor rgb="FFCBCFD4"/>
        <bgColor indexed="64"/>
      </patternFill>
    </fill>
    <fill>
      <patternFill patternType="solid">
        <fgColor rgb="FFE7E9EB"/>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99"/>
        <bgColor indexed="64"/>
      </patternFill>
    </fill>
  </fills>
  <borders count="12">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right/>
      <top style="medium">
        <color rgb="FFFFFFFF"/>
      </top>
      <bottom/>
      <diagonal/>
    </border>
    <border>
      <left style="medium">
        <color rgb="FFFFFFFF"/>
      </left>
      <right style="medium">
        <color rgb="FFFFFFFF"/>
      </right>
      <top/>
      <bottom style="medium">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1" fillId="2" borderId="1" xfId="0" applyFont="1" applyFill="1" applyBorder="1" applyAlignment="1">
      <alignment horizontal="left" vertical="center" wrapText="1" readingOrder="1"/>
    </xf>
    <xf numFmtId="0" fontId="1" fillId="2" borderId="2" xfId="0" applyFont="1" applyFill="1" applyBorder="1" applyAlignment="1">
      <alignment horizontal="left" vertical="center" wrapText="1" readingOrder="1"/>
    </xf>
    <xf numFmtId="0" fontId="2" fillId="3" borderId="2" xfId="0" applyFont="1" applyFill="1" applyBorder="1" applyAlignment="1">
      <alignment horizontal="left" vertical="center" wrapText="1" readingOrder="1"/>
    </xf>
    <xf numFmtId="0" fontId="1" fillId="2" borderId="3" xfId="0" applyFont="1" applyFill="1" applyBorder="1" applyAlignment="1">
      <alignment horizontal="left" vertical="center" wrapText="1" readingOrder="1"/>
    </xf>
    <xf numFmtId="0" fontId="2" fillId="4" borderId="3" xfId="0" applyFont="1" applyFill="1" applyBorder="1" applyAlignment="1">
      <alignment horizontal="left" vertical="center" wrapText="1" readingOrder="1"/>
    </xf>
    <xf numFmtId="0" fontId="2" fillId="3" borderId="3" xfId="0" applyFont="1" applyFill="1" applyBorder="1" applyAlignment="1">
      <alignment horizontal="left" vertical="center" wrapText="1" readingOrder="1"/>
    </xf>
    <xf numFmtId="0" fontId="1" fillId="2" borderId="4" xfId="0" applyFont="1" applyFill="1" applyBorder="1" applyAlignment="1">
      <alignment horizontal="left" vertical="center" wrapText="1" readingOrder="1"/>
    </xf>
    <xf numFmtId="0" fontId="1" fillId="2" borderId="4" xfId="0" applyFont="1" applyFill="1" applyBorder="1" applyAlignment="1">
      <alignment horizontal="center" vertical="center" wrapText="1" readingOrder="1"/>
    </xf>
    <xf numFmtId="0" fontId="4" fillId="3" borderId="2" xfId="0" applyFont="1" applyFill="1" applyBorder="1" applyAlignment="1">
      <alignment horizontal="center" vertical="center" wrapText="1" readingOrder="1"/>
    </xf>
    <xf numFmtId="0" fontId="4" fillId="4" borderId="3" xfId="0" applyFont="1" applyFill="1" applyBorder="1" applyAlignment="1">
      <alignment horizontal="center" vertical="center" wrapText="1" readingOrder="1"/>
    </xf>
    <xf numFmtId="0" fontId="4" fillId="3" borderId="3" xfId="0" applyFont="1" applyFill="1" applyBorder="1" applyAlignment="1">
      <alignment horizontal="center" vertical="center" wrapText="1" readingOrder="1"/>
    </xf>
    <xf numFmtId="0" fontId="4" fillId="4" borderId="3" xfId="0" applyFont="1" applyFill="1" applyBorder="1" applyAlignment="1">
      <alignment horizontal="left" vertical="center" wrapText="1" readingOrder="1"/>
    </xf>
    <xf numFmtId="0" fontId="6" fillId="3" borderId="2" xfId="0" applyFont="1" applyFill="1" applyBorder="1" applyAlignment="1">
      <alignment horizontal="center" vertical="center" wrapText="1" readingOrder="1"/>
    </xf>
    <xf numFmtId="0" fontId="6" fillId="4" borderId="3" xfId="0" applyFont="1" applyFill="1" applyBorder="1" applyAlignment="1">
      <alignment horizontal="center" vertical="center" wrapText="1" readingOrder="1"/>
    </xf>
    <xf numFmtId="0" fontId="6" fillId="3" borderId="3" xfId="0" applyFont="1" applyFill="1" applyBorder="1" applyAlignment="1">
      <alignment horizontal="center" vertical="center" wrapText="1" readingOrder="1"/>
    </xf>
    <xf numFmtId="0" fontId="8" fillId="0" borderId="0" xfId="0" applyFont="1"/>
    <xf numFmtId="0" fontId="3" fillId="0" borderId="7" xfId="0" applyFont="1" applyBorder="1" applyAlignment="1">
      <alignment vertical="center" wrapText="1" readingOrder="1"/>
    </xf>
    <xf numFmtId="0" fontId="10" fillId="0" borderId="0" xfId="0" applyFont="1"/>
    <xf numFmtId="3" fontId="0" fillId="0" borderId="0" xfId="0" applyNumberFormat="1"/>
    <xf numFmtId="3" fontId="0" fillId="0" borderId="0" xfId="0" applyNumberFormat="1" applyFill="1"/>
    <xf numFmtId="8" fontId="0" fillId="0" borderId="0" xfId="0" applyNumberFormat="1"/>
    <xf numFmtId="0" fontId="5" fillId="2" borderId="3" xfId="0" applyFont="1" applyFill="1" applyBorder="1" applyAlignment="1">
      <alignment horizontal="left" vertical="center" wrapText="1" readingOrder="1"/>
    </xf>
    <xf numFmtId="3" fontId="6" fillId="4" borderId="3" xfId="0" applyNumberFormat="1" applyFont="1" applyFill="1" applyBorder="1" applyAlignment="1">
      <alignment horizontal="center" vertical="center" wrapText="1" readingOrder="1"/>
    </xf>
    <xf numFmtId="6" fontId="6" fillId="3" borderId="2" xfId="0" applyNumberFormat="1" applyFont="1" applyFill="1" applyBorder="1" applyAlignment="1">
      <alignment horizontal="center" vertical="center" wrapText="1" readingOrder="1"/>
    </xf>
    <xf numFmtId="6" fontId="6" fillId="4" borderId="3" xfId="0" applyNumberFormat="1" applyFont="1" applyFill="1" applyBorder="1" applyAlignment="1">
      <alignment horizontal="center" vertical="center" wrapText="1" readingOrder="1"/>
    </xf>
    <xf numFmtId="3" fontId="6" fillId="3" borderId="2" xfId="0" applyNumberFormat="1" applyFont="1" applyFill="1" applyBorder="1" applyAlignment="1">
      <alignment horizontal="center" vertical="center" wrapText="1" readingOrder="1"/>
    </xf>
    <xf numFmtId="0" fontId="11" fillId="4" borderId="3" xfId="0" applyFont="1" applyFill="1" applyBorder="1" applyAlignment="1">
      <alignment horizontal="center" vertical="center" wrapText="1" readingOrder="1"/>
    </xf>
    <xf numFmtId="0" fontId="5" fillId="2" borderId="2" xfId="0" applyFont="1" applyFill="1" applyBorder="1" applyAlignment="1">
      <alignment horizontal="left" vertical="center" wrapText="1" readingOrder="1"/>
    </xf>
    <xf numFmtId="0" fontId="4" fillId="3" borderId="3" xfId="0" applyFont="1" applyFill="1" applyBorder="1" applyAlignment="1">
      <alignment horizontal="left" vertical="center" wrapText="1" readingOrder="1"/>
    </xf>
    <xf numFmtId="6" fontId="4" fillId="4" borderId="3" xfId="0" applyNumberFormat="1" applyFont="1" applyFill="1" applyBorder="1" applyAlignment="1">
      <alignment horizontal="center" vertical="center" wrapText="1" readingOrder="1"/>
    </xf>
    <xf numFmtId="6" fontId="6" fillId="3" borderId="3" xfId="0" applyNumberFormat="1" applyFont="1" applyFill="1" applyBorder="1" applyAlignment="1">
      <alignment horizontal="center" vertical="center" wrapText="1" readingOrder="1"/>
    </xf>
    <xf numFmtId="0" fontId="12" fillId="3" borderId="2" xfId="0" applyFont="1" applyFill="1" applyBorder="1" applyAlignment="1">
      <alignment horizontal="center" vertical="center" wrapText="1" readingOrder="1"/>
    </xf>
    <xf numFmtId="0" fontId="13" fillId="4" borderId="3" xfId="0" applyFont="1" applyFill="1" applyBorder="1" applyAlignment="1">
      <alignment horizontal="center" vertical="center" wrapText="1" readingOrder="1"/>
    </xf>
    <xf numFmtId="0" fontId="14" fillId="0" borderId="0" xfId="0" applyFont="1"/>
    <xf numFmtId="3" fontId="14" fillId="5" borderId="0" xfId="0" applyNumberFormat="1" applyFont="1" applyFill="1"/>
    <xf numFmtId="3" fontId="14" fillId="0" borderId="0" xfId="0" applyNumberFormat="1" applyFont="1"/>
    <xf numFmtId="0" fontId="14" fillId="5" borderId="0" xfId="0" applyFont="1" applyFill="1"/>
    <xf numFmtId="4" fontId="14" fillId="5" borderId="0" xfId="0" applyNumberFormat="1" applyFont="1" applyFill="1"/>
    <xf numFmtId="0" fontId="15" fillId="0" borderId="0" xfId="0" applyFont="1"/>
    <xf numFmtId="0" fontId="16" fillId="0" borderId="0" xfId="0" applyFont="1"/>
    <xf numFmtId="0" fontId="17" fillId="0" borderId="0" xfId="0" applyFont="1"/>
    <xf numFmtId="3" fontId="0" fillId="6" borderId="0" xfId="0" applyNumberFormat="1" applyFill="1"/>
    <xf numFmtId="0" fontId="0" fillId="0" borderId="0" xfId="0" applyAlignment="1">
      <alignment horizontal="center"/>
    </xf>
    <xf numFmtId="6" fontId="0" fillId="0" borderId="0" xfId="0" applyNumberFormat="1" applyAlignment="1">
      <alignment horizontal="center"/>
    </xf>
    <xf numFmtId="0" fontId="5" fillId="2" borderId="8" xfId="0" applyFont="1" applyFill="1" applyBorder="1" applyAlignment="1">
      <alignment horizontal="left" vertical="center" wrapText="1" readingOrder="1"/>
    </xf>
    <xf numFmtId="0" fontId="2" fillId="4" borderId="8" xfId="0" applyFont="1" applyFill="1" applyBorder="1" applyAlignment="1">
      <alignment horizontal="left" vertical="center" wrapText="1" readingOrder="1"/>
    </xf>
    <xf numFmtId="6" fontId="6" fillId="4" borderId="8" xfId="0" applyNumberFormat="1" applyFont="1" applyFill="1" applyBorder="1" applyAlignment="1">
      <alignment horizontal="center" vertical="center" wrapText="1" readingOrder="1"/>
    </xf>
    <xf numFmtId="0" fontId="4" fillId="4" borderId="8" xfId="0" applyFont="1" applyFill="1" applyBorder="1" applyAlignment="1">
      <alignment horizontal="center" vertical="center" wrapText="1" readingOrder="1"/>
    </xf>
    <xf numFmtId="0" fontId="0" fillId="7" borderId="0" xfId="0" applyFill="1"/>
    <xf numFmtId="0" fontId="16" fillId="5" borderId="0" xfId="0" applyFont="1" applyFill="1"/>
    <xf numFmtId="0" fontId="18" fillId="0" borderId="0" xfId="0" applyFont="1"/>
    <xf numFmtId="164" fontId="14" fillId="5" borderId="0" xfId="0" applyNumberFormat="1" applyFont="1" applyFill="1"/>
    <xf numFmtId="164" fontId="0" fillId="6" borderId="0" xfId="0" applyNumberFormat="1" applyFill="1"/>
    <xf numFmtId="4" fontId="0" fillId="6" borderId="0" xfId="0" applyNumberFormat="1" applyFill="1"/>
    <xf numFmtId="4" fontId="14" fillId="0" borderId="0" xfId="0" applyNumberFormat="1" applyFont="1" applyFill="1"/>
    <xf numFmtId="0" fontId="2" fillId="3" borderId="3" xfId="0" applyFont="1" applyFill="1" applyBorder="1" applyAlignment="1">
      <alignment horizontal="center" vertical="center" wrapText="1" readingOrder="1"/>
    </xf>
    <xf numFmtId="0" fontId="0" fillId="0" borderId="0" xfId="0"/>
    <xf numFmtId="0" fontId="14" fillId="0" borderId="0" xfId="0" applyFont="1"/>
    <xf numFmtId="0" fontId="14" fillId="0" borderId="9" xfId="0" applyFont="1" applyBorder="1" applyAlignment="1"/>
    <xf numFmtId="0" fontId="0" fillId="0" borderId="10" xfId="0" applyBorder="1" applyAlignment="1"/>
    <xf numFmtId="0" fontId="0" fillId="0" borderId="11" xfId="0" applyBorder="1" applyAlignment="1"/>
    <xf numFmtId="0" fontId="18" fillId="0" borderId="0" xfId="0" applyFont="1" applyAlignment="1">
      <alignment vertical="center" wrapText="1"/>
    </xf>
    <xf numFmtId="0" fontId="22" fillId="0" borderId="0" xfId="0" applyFont="1" applyAlignment="1">
      <alignment vertical="center" wrapText="1"/>
    </xf>
    <xf numFmtId="0" fontId="14" fillId="0" borderId="10" xfId="0" applyFont="1" applyBorder="1" applyAlignment="1"/>
    <xf numFmtId="0" fontId="1" fillId="2" borderId="5"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5" fillId="2" borderId="5" xfId="0" applyFont="1" applyFill="1" applyBorder="1" applyAlignment="1">
      <alignment horizontal="center" vertical="center" wrapText="1" readingOrder="1"/>
    </xf>
  </cellXfs>
  <cellStyles count="1">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284952</xdr:colOff>
      <xdr:row>49</xdr:row>
      <xdr:rowOff>94119</xdr:rowOff>
    </xdr:to>
    <xdr:pic>
      <xdr:nvPicPr>
        <xdr:cNvPr id="4" name="Grafik 3"/>
        <xdr:cNvPicPr>
          <a:picLocks noChangeAspect="1"/>
        </xdr:cNvPicPr>
      </xdr:nvPicPr>
      <xdr:blipFill>
        <a:blip xmlns:r="http://schemas.openxmlformats.org/officeDocument/2006/relationships" r:embed="rId1"/>
        <a:stretch>
          <a:fillRect/>
        </a:stretch>
      </xdr:blipFill>
      <xdr:spPr>
        <a:xfrm>
          <a:off x="762000" y="381000"/>
          <a:ext cx="6380952" cy="904761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abSelected="1" topLeftCell="B4" zoomScaleNormal="100" zoomScaleSheetLayoutView="100" workbookViewId="0">
      <selection activeCell="L29" sqref="L29"/>
    </sheetView>
  </sheetViews>
  <sheetFormatPr baseColWidth="10" defaultRowHeight="15" x14ac:dyDescent="0.25"/>
  <cols>
    <col min="1" max="1" width="11.42578125" hidden="1" customWidth="1"/>
    <col min="10" max="10" width="4.42578125" customWidth="1"/>
    <col min="11" max="11" width="0" hidden="1" customWidth="1"/>
  </cols>
  <sheetData/>
  <sheetProtection password="EF29" sheet="1" objects="1" scenarios="1"/>
  <pageMargins left="0.70866141732283472" right="0.70866141732283472" top="0.78740157480314965" bottom="0.78740157480314965" header="0.31496062992125984" footer="0.31496062992125984"/>
  <pageSetup paperSize="9" scale="9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0"/>
  <sheetViews>
    <sheetView topLeftCell="C4"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20</v>
      </c>
    </row>
    <row r="4" spans="3:15" ht="15.75" x14ac:dyDescent="0.25">
      <c r="D4" s="18" t="s">
        <v>174</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78" thickTop="1" thickBot="1" x14ac:dyDescent="0.3">
      <c r="D11" s="2" t="s">
        <v>20</v>
      </c>
      <c r="E11" s="3" t="s">
        <v>21</v>
      </c>
      <c r="F11" s="9" t="s">
        <v>29</v>
      </c>
      <c r="G11" s="24">
        <f>-J36</f>
        <v>0</v>
      </c>
      <c r="H11" s="24">
        <f>-J34</f>
        <v>0</v>
      </c>
      <c r="I11" s="9" t="s">
        <v>29</v>
      </c>
      <c r="J11" s="9" t="s">
        <v>29</v>
      </c>
      <c r="K11" s="9" t="s">
        <v>29</v>
      </c>
      <c r="L11" s="9" t="s">
        <v>29</v>
      </c>
      <c r="M11" s="9" t="s">
        <v>29</v>
      </c>
      <c r="N11" s="9" t="s">
        <v>51</v>
      </c>
      <c r="O11" s="9" t="s">
        <v>42</v>
      </c>
    </row>
    <row r="12" spans="3:15" ht="51.75" thickBot="1" x14ac:dyDescent="0.3">
      <c r="D12" s="4" t="s">
        <v>22</v>
      </c>
      <c r="E12" s="12" t="s">
        <v>43</v>
      </c>
      <c r="F12" s="10" t="s">
        <v>29</v>
      </c>
      <c r="G12" s="10" t="s">
        <v>29</v>
      </c>
      <c r="H12" s="25">
        <f>+J38</f>
        <v>0</v>
      </c>
      <c r="I12" s="25">
        <f>-J40</f>
        <v>0</v>
      </c>
      <c r="J12" s="10" t="s">
        <v>29</v>
      </c>
      <c r="K12" s="10" t="s">
        <v>29</v>
      </c>
      <c r="L12" s="25">
        <f>+J40</f>
        <v>0</v>
      </c>
      <c r="M12" s="10" t="s">
        <v>77</v>
      </c>
      <c r="N12" s="10" t="s">
        <v>29</v>
      </c>
      <c r="O12" s="10" t="s">
        <v>52</v>
      </c>
    </row>
    <row r="15" spans="3:15" x14ac:dyDescent="0.25">
      <c r="C15" t="str">
        <f>"StPo"</f>
        <v>StPo</v>
      </c>
      <c r="D15" t="s">
        <v>98</v>
      </c>
      <c r="J15" s="20">
        <f>VerzStPl!J22</f>
        <v>0</v>
      </c>
      <c r="K15" t="s">
        <v>102</v>
      </c>
    </row>
    <row r="17" spans="3:11" x14ac:dyDescent="0.25">
      <c r="C17" t="str">
        <f>"QStr"</f>
        <v>QStr</v>
      </c>
      <c r="D17" t="s">
        <v>175</v>
      </c>
      <c r="J17" s="42">
        <f>VLOOKUP($C17,Eingaben!$D:$K,8,FALSE)</f>
        <v>0</v>
      </c>
      <c r="K17" t="s">
        <v>182</v>
      </c>
    </row>
    <row r="18" spans="3:11" x14ac:dyDescent="0.25">
      <c r="J18" s="19"/>
    </row>
    <row r="19" spans="3:11" x14ac:dyDescent="0.25">
      <c r="C19" t="str">
        <f>"ZStr"</f>
        <v>ZStr</v>
      </c>
      <c r="D19" t="s">
        <v>177</v>
      </c>
      <c r="J19" s="19">
        <f>ROUNDUP(J15*J17,)</f>
        <v>0</v>
      </c>
    </row>
    <row r="20" spans="3:11" x14ac:dyDescent="0.25">
      <c r="J20" s="19"/>
    </row>
    <row r="21" spans="3:11" x14ac:dyDescent="0.25">
      <c r="C21" t="str">
        <f>"IStr"</f>
        <v>IStr</v>
      </c>
      <c r="D21" t="s">
        <v>176</v>
      </c>
      <c r="J21" s="42">
        <f>VLOOKUP($C21,Eingaben!$D:$K,8,FALSE)</f>
        <v>0</v>
      </c>
      <c r="K21" t="s">
        <v>106</v>
      </c>
    </row>
    <row r="22" spans="3:11" x14ac:dyDescent="0.25">
      <c r="J22" s="19"/>
    </row>
    <row r="23" spans="3:11" x14ac:dyDescent="0.25">
      <c r="C23" t="str">
        <f>"KMStr"</f>
        <v>KMStr</v>
      </c>
      <c r="D23" t="s">
        <v>125</v>
      </c>
      <c r="J23" s="42">
        <f>VLOOKUP($C23,Eingaben!$D:$K,8,FALSE)</f>
        <v>0</v>
      </c>
      <c r="K23" t="s">
        <v>106</v>
      </c>
    </row>
    <row r="25" spans="3:11" x14ac:dyDescent="0.25">
      <c r="C25" t="str">
        <f>"NDStr"</f>
        <v>NDStr</v>
      </c>
      <c r="D25" t="s">
        <v>178</v>
      </c>
      <c r="J25" s="42">
        <f>VLOOKUP($C25,Eingaben!$D:$K,8,FALSE)</f>
        <v>0</v>
      </c>
      <c r="K25" t="s">
        <v>107</v>
      </c>
    </row>
    <row r="27" spans="3:11" x14ac:dyDescent="0.25">
      <c r="C27" t="s">
        <v>179</v>
      </c>
      <c r="D27" t="s">
        <v>180</v>
      </c>
      <c r="J27" s="42">
        <f>VLOOKUP($C27,Eingaben!$D:$K,8,FALSE)</f>
        <v>0</v>
      </c>
      <c r="K27" t="s">
        <v>181</v>
      </c>
    </row>
    <row r="29" spans="3:11" x14ac:dyDescent="0.25">
      <c r="C29" t="s">
        <v>184</v>
      </c>
      <c r="D29" t="s">
        <v>185</v>
      </c>
      <c r="J29" s="42">
        <f>VLOOKUP($C29,Eingaben!$D:$K,8,FALSE)</f>
        <v>0</v>
      </c>
      <c r="K29" t="s">
        <v>181</v>
      </c>
    </row>
    <row r="31" spans="3:11" x14ac:dyDescent="0.25">
      <c r="C31" t="s">
        <v>112</v>
      </c>
      <c r="D31" t="s">
        <v>113</v>
      </c>
      <c r="J31" s="42">
        <f>VLOOKUP($C31,Eingaben!$D:$K,8,FALSE)</f>
        <v>0</v>
      </c>
      <c r="K31" t="s">
        <v>114</v>
      </c>
    </row>
    <row r="34" spans="4:10" x14ac:dyDescent="0.25">
      <c r="D34" t="s">
        <v>183</v>
      </c>
      <c r="J34" s="19">
        <f>J19*J21</f>
        <v>0</v>
      </c>
    </row>
    <row r="35" spans="4:10" x14ac:dyDescent="0.25">
      <c r="D35" t="s">
        <v>126</v>
      </c>
      <c r="J35" s="19">
        <f>J23*(WohnFl!J21+VerzStPl!J14)</f>
        <v>0</v>
      </c>
    </row>
    <row r="36" spans="4:10" x14ac:dyDescent="0.25">
      <c r="D36" t="s">
        <v>141</v>
      </c>
      <c r="J36" s="19">
        <f>PV(J31/100,J25,J35,,0)</f>
        <v>0</v>
      </c>
    </row>
    <row r="37" spans="4:10" x14ac:dyDescent="0.25">
      <c r="D37" t="s">
        <v>172</v>
      </c>
      <c r="J37" s="19">
        <f>J19*J27</f>
        <v>0</v>
      </c>
    </row>
    <row r="38" spans="4:10" x14ac:dyDescent="0.25">
      <c r="D38" t="s">
        <v>124</v>
      </c>
      <c r="J38" s="19">
        <f>PV(J31/100,J25,J37,,0)</f>
        <v>0</v>
      </c>
    </row>
    <row r="39" spans="4:10" x14ac:dyDescent="0.25">
      <c r="D39" t="s">
        <v>186</v>
      </c>
      <c r="J39" s="19">
        <f>J19*J29</f>
        <v>0</v>
      </c>
    </row>
    <row r="40" spans="4:10" x14ac:dyDescent="0.25">
      <c r="D40" t="s">
        <v>187</v>
      </c>
      <c r="J40" s="19">
        <f>PV(J31/100,J25,J39,,0)</f>
        <v>0</v>
      </c>
    </row>
  </sheetData>
  <mergeCells count="5">
    <mergeCell ref="F9:G9"/>
    <mergeCell ref="H9:I9"/>
    <mergeCell ref="J9:K9"/>
    <mergeCell ref="L9:M9"/>
    <mergeCell ref="N9:O9"/>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62"/>
  <sheetViews>
    <sheetView topLeftCell="C7"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14</v>
      </c>
    </row>
    <row r="4" spans="3:15" ht="15.75" x14ac:dyDescent="0.25">
      <c r="D4" s="18" t="s">
        <v>15</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78" thickTop="1" thickBot="1" x14ac:dyDescent="0.3">
      <c r="D11" s="2" t="s">
        <v>14</v>
      </c>
      <c r="E11" s="3" t="s">
        <v>16</v>
      </c>
      <c r="F11" s="9" t="s">
        <v>29</v>
      </c>
      <c r="G11" s="9" t="s">
        <v>29</v>
      </c>
      <c r="H11" s="9" t="s">
        <v>54</v>
      </c>
      <c r="I11" s="9" t="s">
        <v>55</v>
      </c>
      <c r="J11" s="9" t="s">
        <v>29</v>
      </c>
      <c r="K11" s="9" t="s">
        <v>56</v>
      </c>
      <c r="L11" s="24">
        <f>-J34</f>
        <v>0</v>
      </c>
      <c r="M11" s="24">
        <f>-J36</f>
        <v>0</v>
      </c>
      <c r="N11" s="9" t="s">
        <v>60</v>
      </c>
      <c r="O11" s="9" t="s">
        <v>59</v>
      </c>
    </row>
    <row r="12" spans="3:15" ht="39" thickBot="1" x14ac:dyDescent="0.3">
      <c r="D12" s="4" t="s">
        <v>15</v>
      </c>
      <c r="E12" s="5" t="s">
        <v>17</v>
      </c>
      <c r="F12" s="10" t="s">
        <v>29</v>
      </c>
      <c r="G12" s="10" t="s">
        <v>29</v>
      </c>
      <c r="H12" s="10" t="s">
        <v>29</v>
      </c>
      <c r="I12" s="10" t="s">
        <v>29</v>
      </c>
      <c r="J12" s="10" t="s">
        <v>29</v>
      </c>
      <c r="K12" s="10" t="s">
        <v>29</v>
      </c>
      <c r="L12" s="10" t="s">
        <v>29</v>
      </c>
      <c r="M12" s="25">
        <f>+J37</f>
        <v>0</v>
      </c>
      <c r="N12" s="10" t="s">
        <v>61</v>
      </c>
      <c r="O12" s="10" t="s">
        <v>62</v>
      </c>
    </row>
    <row r="15" spans="3:15" x14ac:dyDescent="0.25">
      <c r="C15" t="s">
        <v>192</v>
      </c>
      <c r="D15" t="s">
        <v>188</v>
      </c>
      <c r="J15" s="42">
        <f>VLOOKUP($C15,Eingaben!$D:$K,8,FALSE)</f>
        <v>0</v>
      </c>
      <c r="K15" t="s">
        <v>102</v>
      </c>
    </row>
    <row r="17" spans="3:11" x14ac:dyDescent="0.25">
      <c r="C17" t="str">
        <f>"IPkw"</f>
        <v>IPkw</v>
      </c>
      <c r="D17" t="s">
        <v>189</v>
      </c>
      <c r="J17" s="42">
        <f>VLOOKUP($C17,Eingaben!$D:$K,8,FALSE)</f>
        <v>0</v>
      </c>
      <c r="K17" t="s">
        <v>106</v>
      </c>
    </row>
    <row r="18" spans="3:11" x14ac:dyDescent="0.25">
      <c r="J18" s="19"/>
    </row>
    <row r="19" spans="3:11" x14ac:dyDescent="0.25">
      <c r="C19" t="str">
        <f>"NDPkw"</f>
        <v>NDPkw</v>
      </c>
      <c r="D19" t="s">
        <v>191</v>
      </c>
      <c r="J19" s="42">
        <f>VLOOKUP($C19,Eingaben!$D:$K,8,FALSE)</f>
        <v>0</v>
      </c>
      <c r="K19" t="s">
        <v>107</v>
      </c>
    </row>
    <row r="21" spans="3:11" x14ac:dyDescent="0.25">
      <c r="C21" t="s">
        <v>193</v>
      </c>
      <c r="D21" t="s">
        <v>194</v>
      </c>
      <c r="J21" s="42">
        <f>VLOOKUP($C21,Eingaben!$D:$K,8,FALSE)</f>
        <v>0</v>
      </c>
      <c r="K21" t="s">
        <v>107</v>
      </c>
    </row>
    <row r="23" spans="3:11" x14ac:dyDescent="0.25">
      <c r="C23" t="s">
        <v>210</v>
      </c>
      <c r="D23" t="s">
        <v>211</v>
      </c>
      <c r="J23" s="19">
        <f>J19-J21</f>
        <v>0</v>
      </c>
      <c r="K23" t="s">
        <v>107</v>
      </c>
    </row>
    <row r="25" spans="3:11" x14ac:dyDescent="0.25">
      <c r="C25" t="s">
        <v>190</v>
      </c>
      <c r="D25" t="s">
        <v>195</v>
      </c>
      <c r="J25" s="19">
        <f>IF(J19&gt;0,J15*J17/J19*J23,0)</f>
        <v>0</v>
      </c>
      <c r="K25" t="s">
        <v>106</v>
      </c>
    </row>
    <row r="27" spans="3:11" x14ac:dyDescent="0.25">
      <c r="C27" t="s">
        <v>196</v>
      </c>
      <c r="D27" t="s">
        <v>197</v>
      </c>
      <c r="J27" s="42">
        <f>VLOOKUP($C27,Eingaben!$D:$K,8,FALSE)</f>
        <v>0</v>
      </c>
      <c r="K27" t="s">
        <v>198</v>
      </c>
    </row>
    <row r="29" spans="3:11" x14ac:dyDescent="0.25">
      <c r="C29" t="s">
        <v>199</v>
      </c>
      <c r="D29" t="s">
        <v>200</v>
      </c>
      <c r="J29" s="42">
        <f>VLOOKUP($C29,Eingaben!$D:$K,8,FALSE)</f>
        <v>0</v>
      </c>
      <c r="K29" t="s">
        <v>201</v>
      </c>
    </row>
    <row r="31" spans="3:11" x14ac:dyDescent="0.25">
      <c r="C31" t="s">
        <v>112</v>
      </c>
      <c r="D31" t="s">
        <v>113</v>
      </c>
      <c r="J31" s="42">
        <f>VLOOKUP($C31,Eingaben!$D:$K,8,FALSE)</f>
        <v>0</v>
      </c>
      <c r="K31" t="s">
        <v>114</v>
      </c>
    </row>
    <row r="34" spans="4:18" x14ac:dyDescent="0.25">
      <c r="D34" t="s">
        <v>202</v>
      </c>
      <c r="J34" s="19">
        <f>J25*J27/100</f>
        <v>0</v>
      </c>
    </row>
    <row r="35" spans="4:18" x14ac:dyDescent="0.25">
      <c r="D35" t="s">
        <v>203</v>
      </c>
      <c r="J35" s="19">
        <f>J15*J29</f>
        <v>0</v>
      </c>
    </row>
    <row r="36" spans="4:18" x14ac:dyDescent="0.25">
      <c r="D36" t="s">
        <v>204</v>
      </c>
      <c r="J36" s="19">
        <f>PV(J31/100,J23,J35,,0)</f>
        <v>0</v>
      </c>
    </row>
    <row r="37" spans="4:18" x14ac:dyDescent="0.25">
      <c r="D37" t="s">
        <v>205</v>
      </c>
      <c r="J37" s="19">
        <f>SUMIF(R38:R62,"&gt;0")</f>
        <v>0</v>
      </c>
      <c r="M37" t="s">
        <v>206</v>
      </c>
      <c r="N37" t="s">
        <v>207</v>
      </c>
      <c r="O37" t="s">
        <v>208</v>
      </c>
      <c r="P37" t="s">
        <v>209</v>
      </c>
      <c r="R37" t="s">
        <v>212</v>
      </c>
    </row>
    <row r="38" spans="4:18" x14ac:dyDescent="0.25">
      <c r="J38" s="19"/>
      <c r="L38">
        <v>1</v>
      </c>
      <c r="M38" s="21">
        <f>J25</f>
        <v>0</v>
      </c>
      <c r="N38" s="21" t="e">
        <f>P38-O38</f>
        <v>#NUM!</v>
      </c>
      <c r="O38" s="21">
        <f>M38*$J$31/100</f>
        <v>0</v>
      </c>
      <c r="P38" s="21" t="e">
        <f>-PMT($J$31/100,$J$23,$J$25,,0)</f>
        <v>#NUM!</v>
      </c>
      <c r="R38">
        <f>O38/POWER((1+($J$31/100)),L38)</f>
        <v>0</v>
      </c>
    </row>
    <row r="39" spans="4:18" x14ac:dyDescent="0.25">
      <c r="J39" s="19"/>
      <c r="L39">
        <v>2</v>
      </c>
      <c r="M39" s="21" t="e">
        <f>M38-N38</f>
        <v>#NUM!</v>
      </c>
      <c r="N39" s="21" t="e">
        <f>P39-O39</f>
        <v>#NUM!</v>
      </c>
      <c r="O39" s="21" t="e">
        <f>M39*$J$31/100</f>
        <v>#NUM!</v>
      </c>
      <c r="P39" s="21" t="e">
        <f>-PMT($J$31/100,$J$23,$J$25,,0)</f>
        <v>#NUM!</v>
      </c>
      <c r="R39" t="e">
        <f>O39/POWER((1+($J$31/100)),L39)</f>
        <v>#NUM!</v>
      </c>
    </row>
    <row r="40" spans="4:18" x14ac:dyDescent="0.25">
      <c r="J40" s="19"/>
      <c r="L40">
        <v>3</v>
      </c>
      <c r="M40" s="21" t="e">
        <f t="shared" ref="M40:M61" si="0">M39-N39</f>
        <v>#NUM!</v>
      </c>
      <c r="N40" s="21" t="e">
        <f t="shared" ref="N40:N61" si="1">P40-O40</f>
        <v>#NUM!</v>
      </c>
      <c r="O40" s="21" t="e">
        <f t="shared" ref="O40:O61" si="2">M40*$J$31/100</f>
        <v>#NUM!</v>
      </c>
      <c r="P40" s="21" t="e">
        <f t="shared" ref="P40:P62" si="3">-PMT($J$31/100,$J$23,$J$25,,0)</f>
        <v>#NUM!</v>
      </c>
      <c r="R40" t="e">
        <f t="shared" ref="R40:R62" si="4">O40/POWER((1+($J$31/100)),L40)</f>
        <v>#NUM!</v>
      </c>
    </row>
    <row r="41" spans="4:18" x14ac:dyDescent="0.25">
      <c r="L41">
        <v>4</v>
      </c>
      <c r="M41" s="21" t="e">
        <f t="shared" si="0"/>
        <v>#NUM!</v>
      </c>
      <c r="N41" s="21" t="e">
        <f t="shared" si="1"/>
        <v>#NUM!</v>
      </c>
      <c r="O41" s="21" t="e">
        <f t="shared" si="2"/>
        <v>#NUM!</v>
      </c>
      <c r="P41" s="21" t="e">
        <f t="shared" si="3"/>
        <v>#NUM!</v>
      </c>
      <c r="R41" t="e">
        <f t="shared" si="4"/>
        <v>#NUM!</v>
      </c>
    </row>
    <row r="42" spans="4:18" x14ac:dyDescent="0.25">
      <c r="L42">
        <v>5</v>
      </c>
      <c r="M42" s="21" t="e">
        <f t="shared" si="0"/>
        <v>#NUM!</v>
      </c>
      <c r="N42" s="21" t="e">
        <f t="shared" si="1"/>
        <v>#NUM!</v>
      </c>
      <c r="O42" s="21" t="e">
        <f t="shared" si="2"/>
        <v>#NUM!</v>
      </c>
      <c r="P42" s="21" t="e">
        <f t="shared" si="3"/>
        <v>#NUM!</v>
      </c>
      <c r="R42" t="e">
        <f t="shared" si="4"/>
        <v>#NUM!</v>
      </c>
    </row>
    <row r="43" spans="4:18" x14ac:dyDescent="0.25">
      <c r="L43">
        <v>6</v>
      </c>
      <c r="M43" s="21" t="e">
        <f t="shared" si="0"/>
        <v>#NUM!</v>
      </c>
      <c r="N43" s="21" t="e">
        <f t="shared" si="1"/>
        <v>#NUM!</v>
      </c>
      <c r="O43" s="21" t="e">
        <f t="shared" si="2"/>
        <v>#NUM!</v>
      </c>
      <c r="P43" s="21" t="e">
        <f t="shared" si="3"/>
        <v>#NUM!</v>
      </c>
      <c r="R43" t="e">
        <f t="shared" si="4"/>
        <v>#NUM!</v>
      </c>
    </row>
    <row r="44" spans="4:18" x14ac:dyDescent="0.25">
      <c r="L44">
        <v>7</v>
      </c>
      <c r="M44" s="21" t="e">
        <f t="shared" si="0"/>
        <v>#NUM!</v>
      </c>
      <c r="N44" s="21" t="e">
        <f t="shared" si="1"/>
        <v>#NUM!</v>
      </c>
      <c r="O44" s="21" t="e">
        <f t="shared" si="2"/>
        <v>#NUM!</v>
      </c>
      <c r="P44" s="21" t="e">
        <f t="shared" si="3"/>
        <v>#NUM!</v>
      </c>
      <c r="R44" t="e">
        <f t="shared" si="4"/>
        <v>#NUM!</v>
      </c>
    </row>
    <row r="45" spans="4:18" x14ac:dyDescent="0.25">
      <c r="L45">
        <v>8</v>
      </c>
      <c r="M45" s="21" t="e">
        <f t="shared" si="0"/>
        <v>#NUM!</v>
      </c>
      <c r="N45" s="21" t="e">
        <f t="shared" si="1"/>
        <v>#NUM!</v>
      </c>
      <c r="O45" s="21" t="e">
        <f t="shared" si="2"/>
        <v>#NUM!</v>
      </c>
      <c r="P45" s="21" t="e">
        <f t="shared" si="3"/>
        <v>#NUM!</v>
      </c>
      <c r="R45" t="e">
        <f t="shared" si="4"/>
        <v>#NUM!</v>
      </c>
    </row>
    <row r="46" spans="4:18" x14ac:dyDescent="0.25">
      <c r="L46">
        <v>9</v>
      </c>
      <c r="M46" s="21" t="e">
        <f t="shared" si="0"/>
        <v>#NUM!</v>
      </c>
      <c r="N46" s="21" t="e">
        <f t="shared" si="1"/>
        <v>#NUM!</v>
      </c>
      <c r="O46" s="21" t="e">
        <f t="shared" si="2"/>
        <v>#NUM!</v>
      </c>
      <c r="P46" s="21" t="e">
        <f t="shared" si="3"/>
        <v>#NUM!</v>
      </c>
      <c r="R46" t="e">
        <f t="shared" si="4"/>
        <v>#NUM!</v>
      </c>
    </row>
    <row r="47" spans="4:18" x14ac:dyDescent="0.25">
      <c r="L47">
        <v>10</v>
      </c>
      <c r="M47" s="21" t="e">
        <f t="shared" si="0"/>
        <v>#NUM!</v>
      </c>
      <c r="N47" s="21" t="e">
        <f t="shared" si="1"/>
        <v>#NUM!</v>
      </c>
      <c r="O47" s="21" t="e">
        <f t="shared" si="2"/>
        <v>#NUM!</v>
      </c>
      <c r="P47" s="21" t="e">
        <f t="shared" si="3"/>
        <v>#NUM!</v>
      </c>
      <c r="R47" t="e">
        <f t="shared" si="4"/>
        <v>#NUM!</v>
      </c>
    </row>
    <row r="48" spans="4:18" x14ac:dyDescent="0.25">
      <c r="L48">
        <v>11</v>
      </c>
      <c r="M48" s="21" t="e">
        <f t="shared" si="0"/>
        <v>#NUM!</v>
      </c>
      <c r="N48" s="21" t="e">
        <f t="shared" si="1"/>
        <v>#NUM!</v>
      </c>
      <c r="O48" s="21" t="e">
        <f t="shared" si="2"/>
        <v>#NUM!</v>
      </c>
      <c r="P48" s="21" t="e">
        <f t="shared" si="3"/>
        <v>#NUM!</v>
      </c>
      <c r="R48" t="e">
        <f t="shared" si="4"/>
        <v>#NUM!</v>
      </c>
    </row>
    <row r="49" spans="12:18" x14ac:dyDescent="0.25">
      <c r="L49">
        <v>12</v>
      </c>
      <c r="M49" s="21" t="e">
        <f t="shared" si="0"/>
        <v>#NUM!</v>
      </c>
      <c r="N49" s="21" t="e">
        <f t="shared" si="1"/>
        <v>#NUM!</v>
      </c>
      <c r="O49" s="21" t="e">
        <f t="shared" si="2"/>
        <v>#NUM!</v>
      </c>
      <c r="P49" s="21" t="e">
        <f t="shared" si="3"/>
        <v>#NUM!</v>
      </c>
      <c r="R49" t="e">
        <f t="shared" si="4"/>
        <v>#NUM!</v>
      </c>
    </row>
    <row r="50" spans="12:18" x14ac:dyDescent="0.25">
      <c r="L50">
        <v>13</v>
      </c>
      <c r="M50" s="21" t="e">
        <f t="shared" si="0"/>
        <v>#NUM!</v>
      </c>
      <c r="N50" s="21" t="e">
        <f t="shared" si="1"/>
        <v>#NUM!</v>
      </c>
      <c r="O50" s="21" t="e">
        <f t="shared" si="2"/>
        <v>#NUM!</v>
      </c>
      <c r="P50" s="21" t="e">
        <f t="shared" si="3"/>
        <v>#NUM!</v>
      </c>
      <c r="R50" t="e">
        <f t="shared" si="4"/>
        <v>#NUM!</v>
      </c>
    </row>
    <row r="51" spans="12:18" x14ac:dyDescent="0.25">
      <c r="L51">
        <v>14</v>
      </c>
      <c r="M51" s="21" t="e">
        <f t="shared" si="0"/>
        <v>#NUM!</v>
      </c>
      <c r="N51" s="21" t="e">
        <f t="shared" si="1"/>
        <v>#NUM!</v>
      </c>
      <c r="O51" s="21" t="e">
        <f t="shared" si="2"/>
        <v>#NUM!</v>
      </c>
      <c r="P51" s="21" t="e">
        <f t="shared" si="3"/>
        <v>#NUM!</v>
      </c>
      <c r="R51" t="e">
        <f t="shared" si="4"/>
        <v>#NUM!</v>
      </c>
    </row>
    <row r="52" spans="12:18" x14ac:dyDescent="0.25">
      <c r="L52">
        <v>15</v>
      </c>
      <c r="M52" s="21" t="e">
        <f t="shared" si="0"/>
        <v>#NUM!</v>
      </c>
      <c r="N52" s="21" t="e">
        <f t="shared" si="1"/>
        <v>#NUM!</v>
      </c>
      <c r="O52" s="21" t="e">
        <f t="shared" si="2"/>
        <v>#NUM!</v>
      </c>
      <c r="P52" s="21" t="e">
        <f t="shared" si="3"/>
        <v>#NUM!</v>
      </c>
      <c r="R52" t="e">
        <f t="shared" si="4"/>
        <v>#NUM!</v>
      </c>
    </row>
    <row r="53" spans="12:18" x14ac:dyDescent="0.25">
      <c r="L53">
        <v>16</v>
      </c>
      <c r="M53" s="21" t="e">
        <f t="shared" si="0"/>
        <v>#NUM!</v>
      </c>
      <c r="N53" s="21" t="e">
        <f t="shared" si="1"/>
        <v>#NUM!</v>
      </c>
      <c r="O53" s="21" t="e">
        <f t="shared" si="2"/>
        <v>#NUM!</v>
      </c>
      <c r="P53" s="21" t="e">
        <f t="shared" si="3"/>
        <v>#NUM!</v>
      </c>
      <c r="R53" t="e">
        <f t="shared" si="4"/>
        <v>#NUM!</v>
      </c>
    </row>
    <row r="54" spans="12:18" x14ac:dyDescent="0.25">
      <c r="L54">
        <v>17</v>
      </c>
      <c r="M54" s="21" t="e">
        <f t="shared" si="0"/>
        <v>#NUM!</v>
      </c>
      <c r="N54" s="21" t="e">
        <f t="shared" si="1"/>
        <v>#NUM!</v>
      </c>
      <c r="O54" s="21" t="e">
        <f t="shared" si="2"/>
        <v>#NUM!</v>
      </c>
      <c r="P54" s="21" t="e">
        <f t="shared" si="3"/>
        <v>#NUM!</v>
      </c>
      <c r="R54" t="e">
        <f t="shared" si="4"/>
        <v>#NUM!</v>
      </c>
    </row>
    <row r="55" spans="12:18" x14ac:dyDescent="0.25">
      <c r="L55">
        <v>18</v>
      </c>
      <c r="M55" s="21" t="e">
        <f t="shared" si="0"/>
        <v>#NUM!</v>
      </c>
      <c r="N55" s="21" t="e">
        <f t="shared" si="1"/>
        <v>#NUM!</v>
      </c>
      <c r="O55" s="21" t="e">
        <f t="shared" si="2"/>
        <v>#NUM!</v>
      </c>
      <c r="P55" s="21" t="e">
        <f t="shared" si="3"/>
        <v>#NUM!</v>
      </c>
      <c r="R55" t="e">
        <f t="shared" si="4"/>
        <v>#NUM!</v>
      </c>
    </row>
    <row r="56" spans="12:18" x14ac:dyDescent="0.25">
      <c r="L56">
        <v>19</v>
      </c>
      <c r="M56" s="21" t="e">
        <f t="shared" si="0"/>
        <v>#NUM!</v>
      </c>
      <c r="N56" s="21" t="e">
        <f t="shared" si="1"/>
        <v>#NUM!</v>
      </c>
      <c r="O56" s="21" t="e">
        <f t="shared" si="2"/>
        <v>#NUM!</v>
      </c>
      <c r="P56" s="21" t="e">
        <f t="shared" si="3"/>
        <v>#NUM!</v>
      </c>
      <c r="R56" t="e">
        <f t="shared" si="4"/>
        <v>#NUM!</v>
      </c>
    </row>
    <row r="57" spans="12:18" x14ac:dyDescent="0.25">
      <c r="L57">
        <v>20</v>
      </c>
      <c r="M57" s="21" t="e">
        <f t="shared" si="0"/>
        <v>#NUM!</v>
      </c>
      <c r="N57" s="21" t="e">
        <f t="shared" si="1"/>
        <v>#NUM!</v>
      </c>
      <c r="O57" s="21" t="e">
        <f t="shared" si="2"/>
        <v>#NUM!</v>
      </c>
      <c r="P57" s="21" t="e">
        <f t="shared" si="3"/>
        <v>#NUM!</v>
      </c>
      <c r="R57" t="e">
        <f t="shared" si="4"/>
        <v>#NUM!</v>
      </c>
    </row>
    <row r="58" spans="12:18" x14ac:dyDescent="0.25">
      <c r="L58">
        <v>21</v>
      </c>
      <c r="M58" s="21" t="e">
        <f t="shared" si="0"/>
        <v>#NUM!</v>
      </c>
      <c r="N58" s="21" t="e">
        <f t="shared" si="1"/>
        <v>#NUM!</v>
      </c>
      <c r="O58" s="21" t="e">
        <f t="shared" si="2"/>
        <v>#NUM!</v>
      </c>
      <c r="P58" s="21" t="e">
        <f t="shared" si="3"/>
        <v>#NUM!</v>
      </c>
      <c r="R58" t="e">
        <f t="shared" si="4"/>
        <v>#NUM!</v>
      </c>
    </row>
    <row r="59" spans="12:18" x14ac:dyDescent="0.25">
      <c r="L59">
        <v>22</v>
      </c>
      <c r="M59" s="21" t="e">
        <f t="shared" si="0"/>
        <v>#NUM!</v>
      </c>
      <c r="N59" s="21" t="e">
        <f t="shared" si="1"/>
        <v>#NUM!</v>
      </c>
      <c r="O59" s="21" t="e">
        <f t="shared" si="2"/>
        <v>#NUM!</v>
      </c>
      <c r="P59" s="21" t="e">
        <f t="shared" si="3"/>
        <v>#NUM!</v>
      </c>
      <c r="R59" t="e">
        <f t="shared" si="4"/>
        <v>#NUM!</v>
      </c>
    </row>
    <row r="60" spans="12:18" x14ac:dyDescent="0.25">
      <c r="L60">
        <v>23</v>
      </c>
      <c r="M60" s="21" t="e">
        <f t="shared" si="0"/>
        <v>#NUM!</v>
      </c>
      <c r="N60" s="21" t="e">
        <f t="shared" si="1"/>
        <v>#NUM!</v>
      </c>
      <c r="O60" s="21" t="e">
        <f t="shared" si="2"/>
        <v>#NUM!</v>
      </c>
      <c r="P60" s="21" t="e">
        <f t="shared" si="3"/>
        <v>#NUM!</v>
      </c>
      <c r="R60" t="e">
        <f t="shared" si="4"/>
        <v>#NUM!</v>
      </c>
    </row>
    <row r="61" spans="12:18" x14ac:dyDescent="0.25">
      <c r="L61">
        <v>24</v>
      </c>
      <c r="M61" s="21" t="e">
        <f t="shared" si="0"/>
        <v>#NUM!</v>
      </c>
      <c r="N61" s="21" t="e">
        <f t="shared" si="1"/>
        <v>#NUM!</v>
      </c>
      <c r="O61" s="21" t="e">
        <f t="shared" si="2"/>
        <v>#NUM!</v>
      </c>
      <c r="P61" s="21" t="e">
        <f t="shared" si="3"/>
        <v>#NUM!</v>
      </c>
      <c r="R61" t="e">
        <f t="shared" si="4"/>
        <v>#NUM!</v>
      </c>
    </row>
    <row r="62" spans="12:18" x14ac:dyDescent="0.25">
      <c r="L62">
        <v>25</v>
      </c>
      <c r="M62" s="21" t="e">
        <f t="shared" ref="M62" si="5">M61-N61</f>
        <v>#NUM!</v>
      </c>
      <c r="N62" s="21" t="e">
        <f t="shared" ref="N62" si="6">P62-O62</f>
        <v>#NUM!</v>
      </c>
      <c r="O62" s="21" t="e">
        <f t="shared" ref="O62" si="7">M62*$J$31/100</f>
        <v>#NUM!</v>
      </c>
      <c r="P62" s="21" t="e">
        <f t="shared" si="3"/>
        <v>#NUM!</v>
      </c>
      <c r="R62" t="e">
        <f t="shared" si="4"/>
        <v>#NUM!</v>
      </c>
    </row>
  </sheetData>
  <mergeCells count="5">
    <mergeCell ref="F9:G9"/>
    <mergeCell ref="H9:I9"/>
    <mergeCell ref="J9:K9"/>
    <mergeCell ref="L9:M9"/>
    <mergeCell ref="N9:O9"/>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8"/>
  <sheetViews>
    <sheetView topLeftCell="C15" workbookViewId="0">
      <selection activeCell="J44" sqref="J44"/>
    </sheetView>
  </sheetViews>
  <sheetFormatPr baseColWidth="10" defaultRowHeight="15" x14ac:dyDescent="0.25"/>
  <cols>
    <col min="4" max="4" width="31.140625" customWidth="1"/>
    <col min="5" max="15" width="18.5703125" customWidth="1"/>
  </cols>
  <sheetData>
    <row r="3" spans="3:15" ht="15.75" x14ac:dyDescent="0.25">
      <c r="D3" s="18" t="s">
        <v>4</v>
      </c>
    </row>
    <row r="4" spans="3:15" ht="15.75" x14ac:dyDescent="0.25">
      <c r="D4" s="18" t="s">
        <v>6</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65.25" thickTop="1" thickBot="1" x14ac:dyDescent="0.3">
      <c r="D11" s="2" t="s">
        <v>4</v>
      </c>
      <c r="E11" s="3" t="s">
        <v>5</v>
      </c>
      <c r="F11" s="24">
        <f>-J39</f>
        <v>0</v>
      </c>
      <c r="G11" s="24">
        <f>-J42</f>
        <v>0</v>
      </c>
      <c r="H11" s="24">
        <f>-J38</f>
        <v>0</v>
      </c>
      <c r="I11" s="9" t="s">
        <v>29</v>
      </c>
      <c r="J11" s="24">
        <f>-J40</f>
        <v>0</v>
      </c>
      <c r="K11" s="24">
        <f>-J46</f>
        <v>0</v>
      </c>
      <c r="L11" s="24">
        <f>J42</f>
        <v>0</v>
      </c>
      <c r="M11" s="9" t="s">
        <v>29</v>
      </c>
      <c r="N11" s="9" t="s">
        <v>68</v>
      </c>
      <c r="O11" s="9" t="s">
        <v>42</v>
      </c>
    </row>
    <row r="12" spans="3:15" ht="51.75" thickBot="1" x14ac:dyDescent="0.3">
      <c r="D12" s="4" t="s">
        <v>6</v>
      </c>
      <c r="E12" s="5" t="s">
        <v>7</v>
      </c>
      <c r="F12" s="10" t="s">
        <v>29</v>
      </c>
      <c r="G12" s="10" t="s">
        <v>29</v>
      </c>
      <c r="H12" s="10" t="s">
        <v>65</v>
      </c>
      <c r="I12" s="10" t="s">
        <v>66</v>
      </c>
      <c r="J12" s="25">
        <f>J44</f>
        <v>0</v>
      </c>
      <c r="K12" s="25">
        <f>-J48</f>
        <v>0</v>
      </c>
      <c r="L12" s="10" t="s">
        <v>29</v>
      </c>
      <c r="M12" s="10" t="s">
        <v>29</v>
      </c>
      <c r="N12" s="10" t="s">
        <v>29</v>
      </c>
      <c r="O12" s="10" t="s">
        <v>67</v>
      </c>
    </row>
    <row r="15" spans="3:15" x14ac:dyDescent="0.25">
      <c r="C15" t="s">
        <v>213</v>
      </c>
      <c r="D15" t="s">
        <v>214</v>
      </c>
      <c r="J15" s="42">
        <f>VLOOKUP($C15,Eingaben!$D:$K,8,FALSE)</f>
        <v>0</v>
      </c>
      <c r="K15" t="s">
        <v>106</v>
      </c>
    </row>
    <row r="16" spans="3:15" x14ac:dyDescent="0.25">
      <c r="J16" s="19"/>
    </row>
    <row r="17" spans="3:11" x14ac:dyDescent="0.25">
      <c r="C17" t="s">
        <v>217</v>
      </c>
      <c r="D17" t="s">
        <v>215</v>
      </c>
      <c r="J17" s="42">
        <f>VLOOKUP($C17,Eingaben!$D:$K,8,FALSE)</f>
        <v>0</v>
      </c>
      <c r="K17" t="s">
        <v>216</v>
      </c>
    </row>
    <row r="18" spans="3:11" x14ac:dyDescent="0.25">
      <c r="J18" s="19"/>
    </row>
    <row r="19" spans="3:11" x14ac:dyDescent="0.25">
      <c r="C19" t="s">
        <v>467</v>
      </c>
      <c r="D19" t="s">
        <v>469</v>
      </c>
      <c r="J19" s="42">
        <f>VLOOKUP($C19,Eingaben!$D:$K,8,FALSE)</f>
        <v>0</v>
      </c>
      <c r="K19" t="s">
        <v>216</v>
      </c>
    </row>
    <row r="20" spans="3:11" x14ac:dyDescent="0.25">
      <c r="J20" s="19"/>
    </row>
    <row r="21" spans="3:11" x14ac:dyDescent="0.25">
      <c r="C21" t="s">
        <v>218</v>
      </c>
      <c r="D21" t="s">
        <v>219</v>
      </c>
      <c r="J21" s="20">
        <f>100-J17-J19</f>
        <v>100</v>
      </c>
      <c r="K21" t="s">
        <v>216</v>
      </c>
    </row>
    <row r="22" spans="3:11" x14ac:dyDescent="0.25">
      <c r="J22" s="19"/>
    </row>
    <row r="23" spans="3:11" x14ac:dyDescent="0.25">
      <c r="C23" t="str">
        <f>"lKÖV"</f>
        <v>lKÖV</v>
      </c>
      <c r="D23" t="s">
        <v>221</v>
      </c>
      <c r="J23" s="42">
        <f>VLOOKUP($C23,Eingaben!$D:$K,8,FALSE)</f>
        <v>0</v>
      </c>
      <c r="K23" t="s">
        <v>106</v>
      </c>
    </row>
    <row r="24" spans="3:11" x14ac:dyDescent="0.25">
      <c r="J24" s="19"/>
    </row>
    <row r="25" spans="3:11" x14ac:dyDescent="0.25">
      <c r="C25" t="str">
        <f>"KMÖV"</f>
        <v>KMÖV</v>
      </c>
      <c r="D25" t="s">
        <v>125</v>
      </c>
      <c r="J25" s="42">
        <f>VLOOKUP($C25,Eingaben!$D:$K,8,FALSE)</f>
        <v>0</v>
      </c>
      <c r="K25" t="s">
        <v>106</v>
      </c>
    </row>
    <row r="27" spans="3:11" x14ac:dyDescent="0.25">
      <c r="C27" t="str">
        <f>"NDÖV"</f>
        <v>NDÖV</v>
      </c>
      <c r="D27" t="s">
        <v>220</v>
      </c>
      <c r="J27" s="42">
        <f>VLOOKUP($C27,Eingaben!$D:$K,8,FALSE)</f>
        <v>0</v>
      </c>
      <c r="K27" t="s">
        <v>107</v>
      </c>
    </row>
    <row r="29" spans="3:11" x14ac:dyDescent="0.25">
      <c r="C29" t="s">
        <v>224</v>
      </c>
      <c r="D29" t="s">
        <v>225</v>
      </c>
      <c r="J29" s="42">
        <f>VLOOKUP($C29,Eingaben!$D:$K,8,FALSE)</f>
        <v>0</v>
      </c>
      <c r="K29" t="s">
        <v>106</v>
      </c>
    </row>
    <row r="31" spans="3:11" x14ac:dyDescent="0.25">
      <c r="C31" t="s">
        <v>222</v>
      </c>
      <c r="D31" t="s">
        <v>226</v>
      </c>
      <c r="J31" s="42">
        <f>VLOOKUP($C31,Eingaben!$D:$K,8,FALSE)</f>
        <v>0</v>
      </c>
      <c r="K31" t="s">
        <v>216</v>
      </c>
    </row>
    <row r="33" spans="3:11" x14ac:dyDescent="0.25">
      <c r="C33" t="s">
        <v>223</v>
      </c>
      <c r="D33" t="s">
        <v>227</v>
      </c>
      <c r="J33" s="42">
        <f>VLOOKUP($C33,Eingaben!$D:$K,8,FALSE)</f>
        <v>0</v>
      </c>
      <c r="K33" t="s">
        <v>216</v>
      </c>
    </row>
    <row r="35" spans="3:11" x14ac:dyDescent="0.25">
      <c r="C35" t="s">
        <v>112</v>
      </c>
      <c r="D35" t="s">
        <v>113</v>
      </c>
      <c r="J35" s="42">
        <f>VLOOKUP($C35,Eingaben!$D:$K,8,FALSE)</f>
        <v>0</v>
      </c>
      <c r="K35" t="s">
        <v>114</v>
      </c>
    </row>
    <row r="38" spans="3:11" x14ac:dyDescent="0.25">
      <c r="D38" t="s">
        <v>228</v>
      </c>
      <c r="J38" s="19">
        <f>J15*J17/100</f>
        <v>0</v>
      </c>
    </row>
    <row r="39" spans="3:11" x14ac:dyDescent="0.25">
      <c r="D39" t="s">
        <v>470</v>
      </c>
      <c r="J39" s="19">
        <f>J15*J19/100</f>
        <v>0</v>
      </c>
    </row>
    <row r="40" spans="3:11" x14ac:dyDescent="0.25">
      <c r="D40" t="s">
        <v>229</v>
      </c>
      <c r="J40" s="19">
        <f>J15*J21/100</f>
        <v>0</v>
      </c>
    </row>
    <row r="41" spans="3:11" x14ac:dyDescent="0.25">
      <c r="D41" t="s">
        <v>126</v>
      </c>
      <c r="J41" s="19">
        <f>J25*(WohnFl!J21+VerzStPl!J14)</f>
        <v>0</v>
      </c>
    </row>
    <row r="42" spans="3:11" x14ac:dyDescent="0.25">
      <c r="D42" t="s">
        <v>141</v>
      </c>
      <c r="J42" s="19">
        <f>PV(J35/100,J27,J41,,0)</f>
        <v>0</v>
      </c>
    </row>
    <row r="43" spans="3:11" x14ac:dyDescent="0.25">
      <c r="D43" t="s">
        <v>172</v>
      </c>
      <c r="J43" s="19">
        <f>J23</f>
        <v>0</v>
      </c>
    </row>
    <row r="44" spans="3:11" x14ac:dyDescent="0.25">
      <c r="D44" t="s">
        <v>124</v>
      </c>
      <c r="J44" s="19">
        <f>PV(J35/100,J27,J43,,0)</f>
        <v>0</v>
      </c>
    </row>
    <row r="45" spans="3:11" x14ac:dyDescent="0.25">
      <c r="D45" t="s">
        <v>230</v>
      </c>
      <c r="J45" s="19">
        <f>J29*J31/100</f>
        <v>0</v>
      </c>
    </row>
    <row r="46" spans="3:11" x14ac:dyDescent="0.25">
      <c r="D46" t="s">
        <v>231</v>
      </c>
      <c r="J46" s="19">
        <f>PV(J35/100,J27,J45,,0)</f>
        <v>0</v>
      </c>
    </row>
    <row r="47" spans="3:11" x14ac:dyDescent="0.25">
      <c r="D47" t="s">
        <v>232</v>
      </c>
      <c r="J47" s="19">
        <f>J29*J33/100</f>
        <v>0</v>
      </c>
    </row>
    <row r="48" spans="3:11" x14ac:dyDescent="0.25">
      <c r="D48" t="s">
        <v>233</v>
      </c>
      <c r="J48" s="19">
        <f>PV(J35/100,J27,J47,,0)</f>
        <v>0</v>
      </c>
    </row>
  </sheetData>
  <mergeCells count="5">
    <mergeCell ref="F9:G9"/>
    <mergeCell ref="H9:I9"/>
    <mergeCell ref="J9:K9"/>
    <mergeCell ref="L9:M9"/>
    <mergeCell ref="N9:O9"/>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3"/>
  <sheetViews>
    <sheetView topLeftCell="B13"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8</v>
      </c>
    </row>
    <row r="4" spans="3:15" ht="15.75" x14ac:dyDescent="0.25">
      <c r="D4" s="18" t="s">
        <v>24</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78" thickTop="1" thickBot="1" x14ac:dyDescent="0.3">
      <c r="D11" s="2" t="s">
        <v>8</v>
      </c>
      <c r="E11" s="3" t="s">
        <v>9</v>
      </c>
      <c r="F11" s="24">
        <f>J36</f>
        <v>0</v>
      </c>
      <c r="G11" s="24">
        <f>-J40</f>
        <v>0</v>
      </c>
      <c r="H11" s="9" t="s">
        <v>29</v>
      </c>
      <c r="I11" s="9" t="s">
        <v>29</v>
      </c>
      <c r="J11" s="9" t="s">
        <v>29</v>
      </c>
      <c r="K11" s="24">
        <f>-J36-J38</f>
        <v>0</v>
      </c>
      <c r="L11" s="24">
        <f>J40+J38</f>
        <v>0</v>
      </c>
      <c r="M11" s="9" t="s">
        <v>78</v>
      </c>
      <c r="N11" s="9" t="s">
        <v>29</v>
      </c>
      <c r="O11" s="9" t="s">
        <v>62</v>
      </c>
    </row>
    <row r="12" spans="3:15" ht="51.75" thickBot="1" x14ac:dyDescent="0.3">
      <c r="D12" s="4" t="s">
        <v>24</v>
      </c>
      <c r="E12" s="12" t="s">
        <v>43</v>
      </c>
      <c r="F12" s="10" t="s">
        <v>29</v>
      </c>
      <c r="G12" s="10" t="s">
        <v>29</v>
      </c>
      <c r="H12" s="10" t="s">
        <v>29</v>
      </c>
      <c r="I12" s="10" t="s">
        <v>29</v>
      </c>
      <c r="J12" s="25">
        <f>J42</f>
        <v>0</v>
      </c>
      <c r="K12" s="10" t="s">
        <v>76</v>
      </c>
      <c r="L12" s="10" t="s">
        <v>242</v>
      </c>
      <c r="M12" s="10" t="s">
        <v>79</v>
      </c>
      <c r="N12" s="10" t="s">
        <v>29</v>
      </c>
      <c r="O12" s="10" t="s">
        <v>62</v>
      </c>
    </row>
    <row r="15" spans="3:15" x14ac:dyDescent="0.25">
      <c r="C15" t="str">
        <f>"StPo"</f>
        <v>StPo</v>
      </c>
      <c r="D15" t="s">
        <v>98</v>
      </c>
      <c r="J15" s="20">
        <f>VerzStPl!J22</f>
        <v>0</v>
      </c>
      <c r="K15" t="s">
        <v>102</v>
      </c>
    </row>
    <row r="17" spans="3:11" x14ac:dyDescent="0.25">
      <c r="C17" t="str">
        <f>"QTi"</f>
        <v>QTi</v>
      </c>
      <c r="D17" t="s">
        <v>235</v>
      </c>
      <c r="J17" s="54">
        <f>VLOOKUP($C17,Eingaben!$D:$K,8,FALSE)</f>
        <v>0</v>
      </c>
      <c r="K17" t="s">
        <v>234</v>
      </c>
    </row>
    <row r="18" spans="3:11" x14ac:dyDescent="0.25">
      <c r="J18" s="19"/>
    </row>
    <row r="19" spans="3:11" x14ac:dyDescent="0.25">
      <c r="C19" t="str">
        <f>"ZTi"</f>
        <v>ZTi</v>
      </c>
      <c r="D19" t="s">
        <v>236</v>
      </c>
      <c r="J19" s="20">
        <f>ROUNDDOWN(IF(ISBLANK(VLOOKUP($C19,Eingaben!$D:$K,8,FALSE)),J15*J17,VLOOKUP($C19,Eingaben!$D:$K,8,FALSE)),)</f>
        <v>0</v>
      </c>
    </row>
    <row r="20" spans="3:11" x14ac:dyDescent="0.25">
      <c r="J20" s="19"/>
    </row>
    <row r="21" spans="3:11" x14ac:dyDescent="0.25">
      <c r="C21" t="s">
        <v>245</v>
      </c>
      <c r="D21" t="s">
        <v>238</v>
      </c>
      <c r="J21" s="42">
        <f>VLOOKUP($C21,Eingaben!$D:$K,8,FALSE)</f>
        <v>0</v>
      </c>
      <c r="K21" t="s">
        <v>106</v>
      </c>
    </row>
    <row r="22" spans="3:11" x14ac:dyDescent="0.25">
      <c r="J22" s="19"/>
    </row>
    <row r="23" spans="3:11" x14ac:dyDescent="0.25">
      <c r="C23" t="s">
        <v>244</v>
      </c>
      <c r="D23" t="s">
        <v>246</v>
      </c>
      <c r="J23" s="42">
        <f>VLOOKUP($C23,Eingaben!$D:$K,8,FALSE)</f>
        <v>0</v>
      </c>
      <c r="K23" t="s">
        <v>106</v>
      </c>
    </row>
    <row r="24" spans="3:11" x14ac:dyDescent="0.25">
      <c r="J24" s="19"/>
    </row>
    <row r="25" spans="3:11" x14ac:dyDescent="0.25">
      <c r="C25" t="str">
        <f>"KMTi"</f>
        <v>KMTi</v>
      </c>
      <c r="D25" t="s">
        <v>125</v>
      </c>
      <c r="J25" s="42">
        <f>VLOOKUP($C25,Eingaben!$D:$K,8,FALSE)</f>
        <v>0</v>
      </c>
      <c r="K25" t="s">
        <v>106</v>
      </c>
    </row>
    <row r="27" spans="3:11" x14ac:dyDescent="0.25">
      <c r="C27" t="str">
        <f>"LZTi"</f>
        <v>LZTi</v>
      </c>
      <c r="D27" t="s">
        <v>239</v>
      </c>
      <c r="J27" s="42">
        <f>VLOOKUP($C27,Eingaben!$D:$K,8,FALSE)</f>
        <v>0</v>
      </c>
      <c r="K27" t="s">
        <v>107</v>
      </c>
    </row>
    <row r="29" spans="3:11" x14ac:dyDescent="0.25">
      <c r="C29" t="s">
        <v>237</v>
      </c>
      <c r="D29" t="s">
        <v>240</v>
      </c>
      <c r="J29" s="42">
        <f>VLOOKUP($C29,Eingaben!$D:$K,8,FALSE)</f>
        <v>0</v>
      </c>
      <c r="K29" t="s">
        <v>241</v>
      </c>
    </row>
    <row r="31" spans="3:11" x14ac:dyDescent="0.25">
      <c r="C31" t="s">
        <v>112</v>
      </c>
      <c r="D31" t="s">
        <v>113</v>
      </c>
      <c r="J31" s="42">
        <f>VLOOKUP($C31,Eingaben!$D:$K,8,FALSE)</f>
        <v>0</v>
      </c>
      <c r="K31" t="s">
        <v>114</v>
      </c>
    </row>
    <row r="34" spans="4:10" x14ac:dyDescent="0.25">
      <c r="J34" s="19"/>
    </row>
    <row r="35" spans="4:10" x14ac:dyDescent="0.25">
      <c r="D35" t="s">
        <v>247</v>
      </c>
      <c r="J35" s="19">
        <f>J19*J21</f>
        <v>0</v>
      </c>
    </row>
    <row r="36" spans="4:10" x14ac:dyDescent="0.25">
      <c r="D36" t="s">
        <v>248</v>
      </c>
      <c r="J36" s="19">
        <f>PV(J31/100,J27,J35,,0)</f>
        <v>0</v>
      </c>
    </row>
    <row r="37" spans="4:10" x14ac:dyDescent="0.25">
      <c r="D37" t="s">
        <v>249</v>
      </c>
      <c r="J37" s="19">
        <f>J19*J23</f>
        <v>0</v>
      </c>
    </row>
    <row r="38" spans="4:10" x14ac:dyDescent="0.25">
      <c r="D38" t="s">
        <v>250</v>
      </c>
      <c r="J38" s="19">
        <f>PV(J31/100,J27,J37,,0)</f>
        <v>0</v>
      </c>
    </row>
    <row r="39" spans="4:10" x14ac:dyDescent="0.25">
      <c r="D39" t="s">
        <v>126</v>
      </c>
      <c r="J39" s="19">
        <f>J25*(WohnFl!J21+VerzStPl!J14)</f>
        <v>0</v>
      </c>
    </row>
    <row r="40" spans="4:10" x14ac:dyDescent="0.25">
      <c r="D40" t="s">
        <v>141</v>
      </c>
      <c r="J40" s="19">
        <f>PV(J31/100,J27,J39,,0)</f>
        <v>0</v>
      </c>
    </row>
    <row r="41" spans="4:10" x14ac:dyDescent="0.25">
      <c r="D41" t="s">
        <v>172</v>
      </c>
      <c r="J41" s="19">
        <f>J19*J29</f>
        <v>0</v>
      </c>
    </row>
    <row r="42" spans="4:10" x14ac:dyDescent="0.25">
      <c r="D42" t="s">
        <v>124</v>
      </c>
      <c r="J42" s="19">
        <f>PV(J31/100,J27,J41,,0)</f>
        <v>0</v>
      </c>
    </row>
    <row r="43" spans="4:10" x14ac:dyDescent="0.25">
      <c r="J43" s="19"/>
    </row>
  </sheetData>
  <mergeCells count="5">
    <mergeCell ref="F9:G9"/>
    <mergeCell ref="H9:I9"/>
    <mergeCell ref="J9:K9"/>
    <mergeCell ref="L9:M9"/>
    <mergeCell ref="N9:O9"/>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63"/>
  <sheetViews>
    <sheetView topLeftCell="C28"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10</v>
      </c>
    </row>
    <row r="4" spans="3:15" ht="15.75" x14ac:dyDescent="0.25">
      <c r="D4" s="18" t="s">
        <v>25</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52.5" thickTop="1" thickBot="1" x14ac:dyDescent="0.3">
      <c r="D11" s="2" t="s">
        <v>10</v>
      </c>
      <c r="E11" s="3" t="s">
        <v>11</v>
      </c>
      <c r="F11" s="24">
        <f>-J44</f>
        <v>0</v>
      </c>
      <c r="G11" s="24">
        <f>-J46</f>
        <v>0</v>
      </c>
      <c r="H11" s="24">
        <f>-J49</f>
        <v>0</v>
      </c>
      <c r="I11" s="9" t="s">
        <v>82</v>
      </c>
      <c r="J11" s="24">
        <f>-J52</f>
        <v>0</v>
      </c>
      <c r="K11" s="9" t="s">
        <v>29</v>
      </c>
      <c r="L11" s="24">
        <f>J46</f>
        <v>0</v>
      </c>
      <c r="M11" s="9" t="s">
        <v>78</v>
      </c>
      <c r="N11" s="9" t="s">
        <v>29</v>
      </c>
      <c r="O11" s="9" t="s">
        <v>85</v>
      </c>
    </row>
    <row r="12" spans="3:15" ht="51.75" thickBot="1" x14ac:dyDescent="0.3">
      <c r="D12" s="4" t="s">
        <v>25</v>
      </c>
      <c r="E12" s="12" t="s">
        <v>43</v>
      </c>
      <c r="F12" s="25">
        <f>J48</f>
        <v>0</v>
      </c>
      <c r="G12" s="10" t="s">
        <v>29</v>
      </c>
      <c r="H12" s="25">
        <f>J51</f>
        <v>0</v>
      </c>
      <c r="I12" s="10" t="s">
        <v>82</v>
      </c>
      <c r="J12" s="25">
        <f>J56+J54</f>
        <v>0</v>
      </c>
      <c r="K12" s="10" t="s">
        <v>29</v>
      </c>
      <c r="L12" s="25">
        <f>J58</f>
        <v>0</v>
      </c>
      <c r="M12" s="10" t="s">
        <v>79</v>
      </c>
      <c r="N12" s="10" t="s">
        <v>29</v>
      </c>
      <c r="O12" s="10" t="s">
        <v>314</v>
      </c>
    </row>
    <row r="15" spans="3:15" x14ac:dyDescent="0.25">
      <c r="C15" t="str">
        <f>"StPo"</f>
        <v>StPo</v>
      </c>
      <c r="D15" t="s">
        <v>98</v>
      </c>
      <c r="J15" s="20">
        <f>VerzStPl!J22</f>
        <v>0</v>
      </c>
      <c r="K15" t="s">
        <v>102</v>
      </c>
    </row>
    <row r="17" spans="3:11" x14ac:dyDescent="0.25">
      <c r="C17" t="str">
        <f>"QCar"</f>
        <v>QCar</v>
      </c>
      <c r="D17" t="s">
        <v>251</v>
      </c>
      <c r="J17" s="54">
        <f>VLOOKUP($C17,Eingaben!$D:$K,8,FALSE)</f>
        <v>0</v>
      </c>
      <c r="K17" t="s">
        <v>252</v>
      </c>
    </row>
    <row r="18" spans="3:11" x14ac:dyDescent="0.25">
      <c r="J18" s="19"/>
    </row>
    <row r="19" spans="3:11" x14ac:dyDescent="0.25">
      <c r="C19" t="str">
        <f>"ZCar"</f>
        <v>ZCar</v>
      </c>
      <c r="D19" t="s">
        <v>253</v>
      </c>
      <c r="J19" s="20">
        <f>ROUNDDOWN(IF(ISBLANK(VLOOKUP($C19,Eingaben!$D:$K,8,FALSE)),J15*J17,VLOOKUP($C19,Eingaben!$D:$K,8,FALSE)),)</f>
        <v>0</v>
      </c>
    </row>
    <row r="20" spans="3:11" x14ac:dyDescent="0.25">
      <c r="J20" s="19"/>
    </row>
    <row r="21" spans="3:11" x14ac:dyDescent="0.25">
      <c r="C21" t="str">
        <f>"ICar"</f>
        <v>ICar</v>
      </c>
      <c r="D21" t="s">
        <v>254</v>
      </c>
      <c r="J21" s="42">
        <f>VLOOKUP($C21,Eingaben!$D:$K,8,FALSE)</f>
        <v>0</v>
      </c>
      <c r="K21" t="s">
        <v>106</v>
      </c>
    </row>
    <row r="22" spans="3:11" x14ac:dyDescent="0.25">
      <c r="J22" s="19"/>
    </row>
    <row r="23" spans="3:11" x14ac:dyDescent="0.25">
      <c r="C23" t="str">
        <f>"ICarK"</f>
        <v>ICarK</v>
      </c>
      <c r="D23" t="s">
        <v>499</v>
      </c>
      <c r="J23" s="42">
        <f>VLOOKUP($C23,Eingaben!$D:$K,8,FALSE)</f>
        <v>0</v>
      </c>
      <c r="K23" t="s">
        <v>106</v>
      </c>
    </row>
    <row r="24" spans="3:11" x14ac:dyDescent="0.25">
      <c r="J24" s="19"/>
    </row>
    <row r="25" spans="3:11" x14ac:dyDescent="0.25">
      <c r="C25" t="str">
        <f>"ICarV"</f>
        <v>ICarV</v>
      </c>
      <c r="D25" t="s">
        <v>500</v>
      </c>
      <c r="J25" s="42">
        <f>VLOOKUP($C25,Eingaben!$D:$K,8,FALSE)</f>
        <v>0</v>
      </c>
      <c r="K25" t="s">
        <v>106</v>
      </c>
    </row>
    <row r="26" spans="3:11" x14ac:dyDescent="0.25">
      <c r="J26" s="19"/>
    </row>
    <row r="27" spans="3:11" x14ac:dyDescent="0.25">
      <c r="C27" t="str">
        <f>"KMCar"</f>
        <v>KMCar</v>
      </c>
      <c r="D27" t="s">
        <v>125</v>
      </c>
      <c r="J27" s="42">
        <f>VLOOKUP($C27,Eingaben!$D:$K,8,FALSE)</f>
        <v>0</v>
      </c>
      <c r="K27" t="s">
        <v>106</v>
      </c>
    </row>
    <row r="29" spans="3:11" x14ac:dyDescent="0.25">
      <c r="C29" t="str">
        <f>"NDCar"</f>
        <v>NDCar</v>
      </c>
      <c r="D29" t="s">
        <v>255</v>
      </c>
      <c r="J29" s="42">
        <f>VLOOKUP($C29,Eingaben!$D:$K,8,FALSE)</f>
        <v>0</v>
      </c>
      <c r="K29" t="s">
        <v>107</v>
      </c>
    </row>
    <row r="31" spans="3:11" x14ac:dyDescent="0.25">
      <c r="C31" t="s">
        <v>256</v>
      </c>
      <c r="D31" t="s">
        <v>501</v>
      </c>
      <c r="J31" s="42">
        <f>VLOOKUP($C31,Eingaben!$D:$K,8,FALSE)</f>
        <v>0</v>
      </c>
      <c r="K31" t="s">
        <v>257</v>
      </c>
    </row>
    <row r="33" spans="3:11" x14ac:dyDescent="0.25">
      <c r="C33" t="s">
        <v>474</v>
      </c>
      <c r="D33" t="s">
        <v>502</v>
      </c>
      <c r="J33" s="42">
        <f>VLOOKUP($C33,Eingaben!$D:$K,8,FALSE)</f>
        <v>0</v>
      </c>
      <c r="K33" t="s">
        <v>257</v>
      </c>
    </row>
    <row r="35" spans="3:11" x14ac:dyDescent="0.25">
      <c r="C35" t="s">
        <v>475</v>
      </c>
      <c r="D35" t="s">
        <v>503</v>
      </c>
      <c r="J35" s="42">
        <f>VLOOKUP($C35,Eingaben!$D:$K,8,FALSE)</f>
        <v>0</v>
      </c>
      <c r="K35" t="s">
        <v>257</v>
      </c>
    </row>
    <row r="37" spans="3:11" x14ac:dyDescent="0.25">
      <c r="C37" t="s">
        <v>263</v>
      </c>
      <c r="D37" t="s">
        <v>268</v>
      </c>
      <c r="J37" s="42">
        <f>VLOOKUP($C37,Eingaben!$D:$K,8,FALSE)</f>
        <v>0</v>
      </c>
      <c r="K37" t="s">
        <v>216</v>
      </c>
    </row>
    <row r="39" spans="3:11" x14ac:dyDescent="0.25">
      <c r="C39" t="str">
        <f>"ECar"</f>
        <v>ECar</v>
      </c>
      <c r="D39" t="s">
        <v>264</v>
      </c>
      <c r="J39" s="42">
        <f>VLOOKUP($C39,Eingaben!$D:$K,8,FALSE)</f>
        <v>0</v>
      </c>
      <c r="K39" t="s">
        <v>106</v>
      </c>
    </row>
    <row r="41" spans="3:11" x14ac:dyDescent="0.25">
      <c r="C41" t="s">
        <v>112</v>
      </c>
      <c r="D41" t="s">
        <v>113</v>
      </c>
      <c r="J41" s="42">
        <f>VLOOKUP($C41,Eingaben!$D:$K,8,FALSE)</f>
        <v>0</v>
      </c>
      <c r="K41" t="s">
        <v>114</v>
      </c>
    </row>
    <row r="44" spans="3:11" x14ac:dyDescent="0.25">
      <c r="D44" t="s">
        <v>258</v>
      </c>
      <c r="J44" s="19">
        <f>J19*J21</f>
        <v>0</v>
      </c>
    </row>
    <row r="45" spans="3:11" x14ac:dyDescent="0.25">
      <c r="D45" t="s">
        <v>126</v>
      </c>
      <c r="J45" s="19">
        <f>J27*(WohnFl!J21+VerzStPl!J14)</f>
        <v>0</v>
      </c>
    </row>
    <row r="46" spans="3:11" x14ac:dyDescent="0.25">
      <c r="D46" t="s">
        <v>141</v>
      </c>
      <c r="J46" s="19">
        <f>PV(J41/100,J29,J45,,0)</f>
        <v>0</v>
      </c>
    </row>
    <row r="47" spans="3:11" x14ac:dyDescent="0.25">
      <c r="D47" t="s">
        <v>172</v>
      </c>
      <c r="J47" s="19">
        <f>J19*J31</f>
        <v>0</v>
      </c>
    </row>
    <row r="48" spans="3:11" x14ac:dyDescent="0.25">
      <c r="D48" t="s">
        <v>124</v>
      </c>
      <c r="J48" s="19">
        <f>PV(J41/100,J29,J47,,0)</f>
        <v>0</v>
      </c>
    </row>
    <row r="49" spans="3:10" x14ac:dyDescent="0.25">
      <c r="D49" t="s">
        <v>504</v>
      </c>
      <c r="J49" s="19">
        <f>J19*J23</f>
        <v>0</v>
      </c>
    </row>
    <row r="50" spans="3:10" x14ac:dyDescent="0.25">
      <c r="D50" t="s">
        <v>355</v>
      </c>
      <c r="J50" s="19">
        <f>J19*J33</f>
        <v>0</v>
      </c>
    </row>
    <row r="51" spans="3:10" x14ac:dyDescent="0.25">
      <c r="D51" t="s">
        <v>505</v>
      </c>
      <c r="J51" s="19">
        <f>PV(J41/100,J29,J50,,0)</f>
        <v>0</v>
      </c>
    </row>
    <row r="52" spans="3:10" x14ac:dyDescent="0.25">
      <c r="D52" t="s">
        <v>506</v>
      </c>
      <c r="J52" s="19">
        <f>J19*J25</f>
        <v>0</v>
      </c>
    </row>
    <row r="53" spans="3:10" x14ac:dyDescent="0.25">
      <c r="D53" t="s">
        <v>507</v>
      </c>
      <c r="J53" s="19">
        <f>J19*J35</f>
        <v>0</v>
      </c>
    </row>
    <row r="54" spans="3:10" x14ac:dyDescent="0.25">
      <c r="D54" t="s">
        <v>508</v>
      </c>
      <c r="J54" s="19">
        <f>PV(J41/100,J29,J53,,0)</f>
        <v>0</v>
      </c>
    </row>
    <row r="55" spans="3:10" x14ac:dyDescent="0.25">
      <c r="D55" t="s">
        <v>269</v>
      </c>
      <c r="J55" s="19">
        <f>ÖVInf!J29*J37/100</f>
        <v>0</v>
      </c>
    </row>
    <row r="56" spans="3:10" x14ac:dyDescent="0.25">
      <c r="D56" t="s">
        <v>270</v>
      </c>
      <c r="J56" s="19">
        <f>PV(J41/100,J29,J55,,0)</f>
        <v>0</v>
      </c>
    </row>
    <row r="57" spans="3:10" x14ac:dyDescent="0.25">
      <c r="D57" t="s">
        <v>265</v>
      </c>
      <c r="J57" s="19">
        <f>J39*(WohnFl!J21+VerzStPl!J14)</f>
        <v>0</v>
      </c>
    </row>
    <row r="58" spans="3:10" x14ac:dyDescent="0.25">
      <c r="D58" t="s">
        <v>266</v>
      </c>
      <c r="J58" s="19">
        <f>PV(J41/100,J29,J57,,0)</f>
        <v>0</v>
      </c>
    </row>
    <row r="59" spans="3:10" x14ac:dyDescent="0.25">
      <c r="J59" s="19"/>
    </row>
    <row r="61" spans="3:10" x14ac:dyDescent="0.25">
      <c r="C61" t="s">
        <v>259</v>
      </c>
      <c r="D61" t="s">
        <v>260</v>
      </c>
    </row>
    <row r="62" spans="3:10" x14ac:dyDescent="0.25">
      <c r="D62" t="s">
        <v>261</v>
      </c>
    </row>
    <row r="63" spans="3:10" x14ac:dyDescent="0.25">
      <c r="D63" t="s">
        <v>262</v>
      </c>
    </row>
  </sheetData>
  <mergeCells count="5">
    <mergeCell ref="F9:G9"/>
    <mergeCell ref="H9:I9"/>
    <mergeCell ref="J9:K9"/>
    <mergeCell ref="L9:M9"/>
    <mergeCell ref="N9:O9"/>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63"/>
  <sheetViews>
    <sheetView topLeftCell="C22"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150</v>
      </c>
    </row>
    <row r="4" spans="3:15" ht="15.75" x14ac:dyDescent="0.25">
      <c r="D4" s="18" t="s">
        <v>151</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52.5" thickTop="1" thickBot="1" x14ac:dyDescent="0.3">
      <c r="D11" s="22" t="s">
        <v>150</v>
      </c>
      <c r="E11" s="29" t="s">
        <v>156</v>
      </c>
      <c r="F11" s="24">
        <f>-J44</f>
        <v>0</v>
      </c>
      <c r="G11" s="24">
        <f>-J46</f>
        <v>0</v>
      </c>
      <c r="H11" s="24">
        <f>-J49</f>
        <v>0</v>
      </c>
      <c r="I11" s="11" t="s">
        <v>82</v>
      </c>
      <c r="J11" s="24">
        <f>-J52</f>
        <v>0</v>
      </c>
      <c r="K11" s="11" t="s">
        <v>29</v>
      </c>
      <c r="L11" s="24">
        <f>J46</f>
        <v>0</v>
      </c>
      <c r="M11" s="11" t="s">
        <v>78</v>
      </c>
      <c r="N11" s="11" t="s">
        <v>29</v>
      </c>
      <c r="O11" s="11" t="s">
        <v>85</v>
      </c>
    </row>
    <row r="12" spans="3:15" ht="51.75" thickBot="1" x14ac:dyDescent="0.3">
      <c r="D12" s="22" t="s">
        <v>151</v>
      </c>
      <c r="E12" s="12" t="s">
        <v>43</v>
      </c>
      <c r="F12" s="25">
        <f>J48</f>
        <v>0</v>
      </c>
      <c r="G12" s="10" t="s">
        <v>29</v>
      </c>
      <c r="H12" s="25">
        <f>J51</f>
        <v>0</v>
      </c>
      <c r="I12" s="10" t="s">
        <v>82</v>
      </c>
      <c r="J12" s="25">
        <f>J56+J54</f>
        <v>0</v>
      </c>
      <c r="K12" s="10" t="s">
        <v>29</v>
      </c>
      <c r="L12" s="25">
        <f>J58</f>
        <v>0</v>
      </c>
      <c r="M12" s="10" t="s">
        <v>79</v>
      </c>
      <c r="N12" s="10" t="s">
        <v>29</v>
      </c>
      <c r="O12" s="10" t="s">
        <v>314</v>
      </c>
    </row>
    <row r="15" spans="3:15" x14ac:dyDescent="0.25">
      <c r="C15" t="str">
        <f>"StPo"</f>
        <v>StPo</v>
      </c>
      <c r="D15" t="s">
        <v>98</v>
      </c>
      <c r="J15" s="20">
        <f>VerzStPl!J22</f>
        <v>0</v>
      </c>
      <c r="K15" t="s">
        <v>102</v>
      </c>
    </row>
    <row r="17" spans="3:11" x14ac:dyDescent="0.25">
      <c r="C17" t="str">
        <f>"QBik"</f>
        <v>QBik</v>
      </c>
      <c r="D17" t="s">
        <v>271</v>
      </c>
      <c r="J17" s="42">
        <f>VLOOKUP($C17,Eingaben!$D:$K,8,FALSE)</f>
        <v>0</v>
      </c>
      <c r="K17" t="s">
        <v>279</v>
      </c>
    </row>
    <row r="18" spans="3:11" x14ac:dyDescent="0.25">
      <c r="J18" s="19"/>
    </row>
    <row r="19" spans="3:11" x14ac:dyDescent="0.25">
      <c r="C19" t="str">
        <f>"ZBik"</f>
        <v>ZBik</v>
      </c>
      <c r="D19" t="s">
        <v>272</v>
      </c>
      <c r="J19" s="20">
        <f>ROUNDDOWN(IF(ISBLANK(VLOOKUP($C19,Eingaben!$D:$K,8,FALSE)),J15*J17,VLOOKUP($C19,Eingaben!$D:$K,8,FALSE)),)</f>
        <v>0</v>
      </c>
    </row>
    <row r="20" spans="3:11" x14ac:dyDescent="0.25">
      <c r="J20" s="19"/>
    </row>
    <row r="21" spans="3:11" x14ac:dyDescent="0.25">
      <c r="C21" t="str">
        <f>"IBik"</f>
        <v>IBik</v>
      </c>
      <c r="D21" t="s">
        <v>273</v>
      </c>
      <c r="J21" s="42">
        <f>VLOOKUP($C21,Eingaben!$D:$K,8,FALSE)</f>
        <v>0</v>
      </c>
      <c r="K21" t="s">
        <v>106</v>
      </c>
    </row>
    <row r="22" spans="3:11" x14ac:dyDescent="0.25">
      <c r="J22" s="19"/>
    </row>
    <row r="23" spans="3:11" x14ac:dyDescent="0.25">
      <c r="C23" t="str">
        <f>"IBikK"</f>
        <v>IBikK</v>
      </c>
      <c r="D23" t="s">
        <v>509</v>
      </c>
      <c r="J23" s="42">
        <f>VLOOKUP($C23,Eingaben!$D:$K,8,FALSE)</f>
        <v>0</v>
      </c>
      <c r="K23" t="s">
        <v>106</v>
      </c>
    </row>
    <row r="24" spans="3:11" x14ac:dyDescent="0.25">
      <c r="J24" s="19"/>
    </row>
    <row r="25" spans="3:11" x14ac:dyDescent="0.25">
      <c r="C25" t="str">
        <f>"IBikV"</f>
        <v>IBikV</v>
      </c>
      <c r="D25" t="s">
        <v>510</v>
      </c>
      <c r="J25" s="42">
        <f>VLOOKUP($C25,Eingaben!$D:$K,8,FALSE)</f>
        <v>0</v>
      </c>
      <c r="K25" t="s">
        <v>106</v>
      </c>
    </row>
    <row r="26" spans="3:11" x14ac:dyDescent="0.25">
      <c r="J26" s="19"/>
    </row>
    <row r="27" spans="3:11" x14ac:dyDescent="0.25">
      <c r="C27" t="str">
        <f>"KMBik"</f>
        <v>KMBik</v>
      </c>
      <c r="D27" t="s">
        <v>125</v>
      </c>
      <c r="J27" s="42">
        <f>VLOOKUP($C27,Eingaben!$D:$K,8,FALSE)</f>
        <v>0</v>
      </c>
      <c r="K27" t="s">
        <v>106</v>
      </c>
    </row>
    <row r="29" spans="3:11" x14ac:dyDescent="0.25">
      <c r="C29" t="str">
        <f>"NDBik"</f>
        <v>NDBik</v>
      </c>
      <c r="D29" t="s">
        <v>274</v>
      </c>
      <c r="J29" s="42">
        <f>VLOOKUP($C29,Eingaben!$D:$K,8,FALSE)</f>
        <v>0</v>
      </c>
      <c r="K29" t="s">
        <v>107</v>
      </c>
    </row>
    <row r="31" spans="3:11" x14ac:dyDescent="0.25">
      <c r="C31" t="s">
        <v>277</v>
      </c>
      <c r="D31" t="s">
        <v>511</v>
      </c>
      <c r="J31" s="42">
        <f>VLOOKUP($C31,Eingaben!$D:$K,8,FALSE)</f>
        <v>0</v>
      </c>
      <c r="K31" t="s">
        <v>280</v>
      </c>
    </row>
    <row r="33" spans="3:11" x14ac:dyDescent="0.25">
      <c r="C33" t="s">
        <v>483</v>
      </c>
      <c r="D33" t="s">
        <v>512</v>
      </c>
      <c r="J33" s="42">
        <f>VLOOKUP($C33,Eingaben!$D:$K,8,FALSE)</f>
        <v>0</v>
      </c>
      <c r="K33" t="s">
        <v>280</v>
      </c>
    </row>
    <row r="35" spans="3:11" x14ac:dyDescent="0.25">
      <c r="C35" t="s">
        <v>484</v>
      </c>
      <c r="D35" t="s">
        <v>513</v>
      </c>
      <c r="J35" s="42">
        <f>VLOOKUP($C35,Eingaben!$D:$K,8,FALSE)</f>
        <v>0</v>
      </c>
      <c r="K35" t="s">
        <v>280</v>
      </c>
    </row>
    <row r="37" spans="3:11" x14ac:dyDescent="0.25">
      <c r="C37" t="s">
        <v>278</v>
      </c>
      <c r="D37" t="s">
        <v>268</v>
      </c>
      <c r="J37" s="42">
        <f>VLOOKUP($C37,Eingaben!$D:$K,8,FALSE)</f>
        <v>0</v>
      </c>
      <c r="K37" t="s">
        <v>216</v>
      </c>
    </row>
    <row r="39" spans="3:11" x14ac:dyDescent="0.25">
      <c r="C39" t="str">
        <f>"EBik"</f>
        <v>EBik</v>
      </c>
      <c r="D39" t="s">
        <v>275</v>
      </c>
      <c r="J39" s="42">
        <f>VLOOKUP($C39,Eingaben!$D:$K,8,FALSE)</f>
        <v>0</v>
      </c>
      <c r="K39" t="s">
        <v>106</v>
      </c>
    </row>
    <row r="41" spans="3:11" x14ac:dyDescent="0.25">
      <c r="C41" t="s">
        <v>112</v>
      </c>
      <c r="D41" t="s">
        <v>113</v>
      </c>
      <c r="J41" s="42">
        <f>VLOOKUP($C41,Eingaben!$D:$K,8,FALSE)</f>
        <v>0</v>
      </c>
      <c r="K41" t="s">
        <v>114</v>
      </c>
    </row>
    <row r="44" spans="3:11" x14ac:dyDescent="0.25">
      <c r="D44" t="s">
        <v>276</v>
      </c>
      <c r="J44" s="19">
        <f>J19*J21</f>
        <v>0</v>
      </c>
    </row>
    <row r="45" spans="3:11" x14ac:dyDescent="0.25">
      <c r="D45" t="s">
        <v>126</v>
      </c>
      <c r="J45" s="19">
        <f>J27*(WohnFl!J21+VerzStPl!J14)</f>
        <v>0</v>
      </c>
    </row>
    <row r="46" spans="3:11" x14ac:dyDescent="0.25">
      <c r="D46" t="s">
        <v>141</v>
      </c>
      <c r="J46" s="19">
        <f>PV(J41/100,J29,J45,,0)</f>
        <v>0</v>
      </c>
    </row>
    <row r="47" spans="3:11" x14ac:dyDescent="0.25">
      <c r="D47" t="s">
        <v>172</v>
      </c>
      <c r="J47" s="19">
        <f>J19*J31</f>
        <v>0</v>
      </c>
    </row>
    <row r="48" spans="3:11" x14ac:dyDescent="0.25">
      <c r="D48" t="s">
        <v>124</v>
      </c>
      <c r="J48" s="19">
        <f>PV(J41/100,J29,J47,,0)</f>
        <v>0</v>
      </c>
    </row>
    <row r="49" spans="3:10" x14ac:dyDescent="0.25">
      <c r="D49" t="s">
        <v>514</v>
      </c>
      <c r="J49" s="19">
        <f>J19*J23</f>
        <v>0</v>
      </c>
    </row>
    <row r="50" spans="3:10" x14ac:dyDescent="0.25">
      <c r="D50" t="s">
        <v>355</v>
      </c>
      <c r="J50" s="19">
        <f>J19*J33</f>
        <v>0</v>
      </c>
    </row>
    <row r="51" spans="3:10" x14ac:dyDescent="0.25">
      <c r="D51" t="s">
        <v>505</v>
      </c>
      <c r="J51" s="19">
        <f>PV(J41/100,J29,J50,,0)</f>
        <v>0</v>
      </c>
    </row>
    <row r="52" spans="3:10" x14ac:dyDescent="0.25">
      <c r="D52" t="s">
        <v>515</v>
      </c>
      <c r="J52" s="19">
        <f>J19*J25</f>
        <v>0</v>
      </c>
    </row>
    <row r="53" spans="3:10" x14ac:dyDescent="0.25">
      <c r="D53" t="s">
        <v>507</v>
      </c>
      <c r="J53" s="19">
        <f>J19*J35</f>
        <v>0</v>
      </c>
    </row>
    <row r="54" spans="3:10" x14ac:dyDescent="0.25">
      <c r="D54" t="s">
        <v>508</v>
      </c>
      <c r="J54" s="19">
        <f>PV(J41/100,J29,J53,,0)</f>
        <v>0</v>
      </c>
    </row>
    <row r="55" spans="3:10" x14ac:dyDescent="0.25">
      <c r="D55" t="s">
        <v>269</v>
      </c>
      <c r="J55" s="19">
        <f>ÖVInf!J29*J37/100</f>
        <v>0</v>
      </c>
    </row>
    <row r="56" spans="3:10" x14ac:dyDescent="0.25">
      <c r="D56" t="s">
        <v>270</v>
      </c>
      <c r="J56" s="19">
        <f>PV(J41/100,J29,J55,,0)</f>
        <v>0</v>
      </c>
    </row>
    <row r="57" spans="3:10" x14ac:dyDescent="0.25">
      <c r="D57" t="s">
        <v>265</v>
      </c>
      <c r="J57" s="19">
        <f>J39*(WohnFl!J21+VerzStPl!J14)</f>
        <v>0</v>
      </c>
    </row>
    <row r="58" spans="3:10" x14ac:dyDescent="0.25">
      <c r="D58" t="s">
        <v>266</v>
      </c>
      <c r="J58" s="19">
        <f>PV(J41/100,J29,J57,,0)</f>
        <v>0</v>
      </c>
    </row>
    <row r="59" spans="3:10" x14ac:dyDescent="0.25">
      <c r="J59" s="19"/>
    </row>
    <row r="61" spans="3:10" x14ac:dyDescent="0.25">
      <c r="C61" t="s">
        <v>259</v>
      </c>
      <c r="D61" t="s">
        <v>281</v>
      </c>
    </row>
    <row r="62" spans="3:10" x14ac:dyDescent="0.25">
      <c r="D62" t="s">
        <v>261</v>
      </c>
    </row>
    <row r="63" spans="3:10" x14ac:dyDescent="0.25">
      <c r="D63" t="s">
        <v>282</v>
      </c>
    </row>
  </sheetData>
  <mergeCells count="5">
    <mergeCell ref="F9:G9"/>
    <mergeCell ref="H9:I9"/>
    <mergeCell ref="J9:K9"/>
    <mergeCell ref="L9:M9"/>
    <mergeCell ref="N9:O9"/>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63"/>
  <sheetViews>
    <sheetView topLeftCell="C25"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152</v>
      </c>
    </row>
    <row r="4" spans="3:15" ht="15.75" x14ac:dyDescent="0.25">
      <c r="D4" s="18" t="s">
        <v>153</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65.25" thickTop="1" thickBot="1" x14ac:dyDescent="0.3">
      <c r="D11" s="22" t="s">
        <v>152</v>
      </c>
      <c r="E11" s="29" t="s">
        <v>157</v>
      </c>
      <c r="F11" s="24">
        <f>-J44</f>
        <v>0</v>
      </c>
      <c r="G11" s="24">
        <f>-J46</f>
        <v>0</v>
      </c>
      <c r="H11" s="24">
        <f>-J49</f>
        <v>0</v>
      </c>
      <c r="I11" s="11" t="s">
        <v>82</v>
      </c>
      <c r="J11" s="24">
        <f>-J52</f>
        <v>0</v>
      </c>
      <c r="K11" s="11" t="s">
        <v>29</v>
      </c>
      <c r="L11" s="24">
        <f>J46</f>
        <v>0</v>
      </c>
      <c r="M11" s="11" t="s">
        <v>78</v>
      </c>
      <c r="N11" s="11" t="s">
        <v>29</v>
      </c>
      <c r="O11" s="11" t="s">
        <v>85</v>
      </c>
    </row>
    <row r="12" spans="3:15" ht="51.75" thickBot="1" x14ac:dyDescent="0.3">
      <c r="D12" s="22" t="s">
        <v>153</v>
      </c>
      <c r="E12" s="12" t="s">
        <v>43</v>
      </c>
      <c r="F12" s="25">
        <f>J48</f>
        <v>0</v>
      </c>
      <c r="G12" s="10" t="s">
        <v>29</v>
      </c>
      <c r="H12" s="25">
        <f>J51</f>
        <v>0</v>
      </c>
      <c r="I12" s="10" t="s">
        <v>82</v>
      </c>
      <c r="J12" s="25">
        <f>J54</f>
        <v>0</v>
      </c>
      <c r="K12" s="10" t="s">
        <v>29</v>
      </c>
      <c r="L12" s="25">
        <f>J58</f>
        <v>0</v>
      </c>
      <c r="M12" s="10" t="s">
        <v>79</v>
      </c>
      <c r="N12" s="10" t="s">
        <v>29</v>
      </c>
      <c r="O12" s="10" t="s">
        <v>314</v>
      </c>
    </row>
    <row r="15" spans="3:15" x14ac:dyDescent="0.25">
      <c r="C15" t="str">
        <f>"StPo"</f>
        <v>StPo</v>
      </c>
      <c r="D15" t="s">
        <v>98</v>
      </c>
      <c r="J15" s="20">
        <f>VerzStPl!J22</f>
        <v>0</v>
      </c>
      <c r="K15" t="s">
        <v>102</v>
      </c>
    </row>
    <row r="17" spans="3:11" x14ac:dyDescent="0.25">
      <c r="C17" t="str">
        <f>"QCgo"</f>
        <v>QCgo</v>
      </c>
      <c r="D17" t="s">
        <v>283</v>
      </c>
      <c r="J17" s="42">
        <f>VLOOKUP($C17,Eingaben!$D:$K,8,FALSE)</f>
        <v>0</v>
      </c>
      <c r="K17" t="s">
        <v>284</v>
      </c>
    </row>
    <row r="18" spans="3:11" x14ac:dyDescent="0.25">
      <c r="J18" s="19"/>
    </row>
    <row r="19" spans="3:11" x14ac:dyDescent="0.25">
      <c r="C19" t="str">
        <f>"ZCgo"</f>
        <v>ZCgo</v>
      </c>
      <c r="D19" t="s">
        <v>285</v>
      </c>
      <c r="J19" s="20">
        <f>ROUNDDOWN(IF(ISBLANK(VLOOKUP($C19,Eingaben!$D:$K,8,FALSE)),J15*J17,VLOOKUP($C19,Eingaben!$D:$K,8,FALSE)),)</f>
        <v>0</v>
      </c>
    </row>
    <row r="20" spans="3:11" x14ac:dyDescent="0.25">
      <c r="J20" s="19"/>
    </row>
    <row r="21" spans="3:11" x14ac:dyDescent="0.25">
      <c r="C21" t="str">
        <f>"ICgo"</f>
        <v>ICgo</v>
      </c>
      <c r="D21" t="s">
        <v>286</v>
      </c>
      <c r="J21" s="42">
        <f>VLOOKUP($C21,Eingaben!$D:$K,8,FALSE)</f>
        <v>0</v>
      </c>
      <c r="K21" t="s">
        <v>106</v>
      </c>
    </row>
    <row r="22" spans="3:11" x14ac:dyDescent="0.25">
      <c r="J22" s="19"/>
    </row>
    <row r="23" spans="3:11" x14ac:dyDescent="0.25">
      <c r="C23" t="str">
        <f>"ICgoK"</f>
        <v>ICgoK</v>
      </c>
      <c r="D23" t="s">
        <v>516</v>
      </c>
      <c r="J23" s="42">
        <f>VLOOKUP($C23,Eingaben!$D:$K,8,FALSE)</f>
        <v>0</v>
      </c>
      <c r="K23" t="s">
        <v>106</v>
      </c>
    </row>
    <row r="24" spans="3:11" x14ac:dyDescent="0.25">
      <c r="J24" s="19"/>
    </row>
    <row r="25" spans="3:11" x14ac:dyDescent="0.25">
      <c r="C25" t="str">
        <f>"ICgoV"</f>
        <v>ICgoV</v>
      </c>
      <c r="D25" t="s">
        <v>517</v>
      </c>
      <c r="J25" s="42">
        <f>VLOOKUP($C25,Eingaben!$D:$K,8,FALSE)</f>
        <v>0</v>
      </c>
      <c r="K25" t="s">
        <v>106</v>
      </c>
    </row>
    <row r="26" spans="3:11" x14ac:dyDescent="0.25">
      <c r="J26" s="19"/>
    </row>
    <row r="27" spans="3:11" x14ac:dyDescent="0.25">
      <c r="C27" t="str">
        <f>"KMCgo"</f>
        <v>KMCgo</v>
      </c>
      <c r="D27" t="s">
        <v>125</v>
      </c>
      <c r="J27" s="42">
        <f>VLOOKUP($C27,Eingaben!$D:$K,8,FALSE)</f>
        <v>0</v>
      </c>
      <c r="K27" t="s">
        <v>106</v>
      </c>
    </row>
    <row r="29" spans="3:11" x14ac:dyDescent="0.25">
      <c r="C29" t="str">
        <f>"NDCgo"</f>
        <v>NDCgo</v>
      </c>
      <c r="D29" t="s">
        <v>287</v>
      </c>
      <c r="J29" s="42">
        <f>VLOOKUP($C29,Eingaben!$D:$K,8,FALSE)</f>
        <v>0</v>
      </c>
      <c r="K29" t="s">
        <v>107</v>
      </c>
    </row>
    <row r="31" spans="3:11" x14ac:dyDescent="0.25">
      <c r="C31" t="s">
        <v>293</v>
      </c>
      <c r="D31" t="s">
        <v>518</v>
      </c>
      <c r="J31" s="42">
        <f>VLOOKUP($C31,Eingaben!$D:$K,8,FALSE)</f>
        <v>0</v>
      </c>
      <c r="K31" t="s">
        <v>288</v>
      </c>
    </row>
    <row r="33" spans="3:11" x14ac:dyDescent="0.25">
      <c r="C33" t="s">
        <v>491</v>
      </c>
      <c r="D33" t="s">
        <v>519</v>
      </c>
      <c r="J33" s="42">
        <f>VLOOKUP($C33,Eingaben!$D:$K,8,FALSE)</f>
        <v>0</v>
      </c>
      <c r="K33" t="s">
        <v>288</v>
      </c>
    </row>
    <row r="35" spans="3:11" x14ac:dyDescent="0.25">
      <c r="C35" t="s">
        <v>490</v>
      </c>
      <c r="D35" t="s">
        <v>520</v>
      </c>
      <c r="J35" s="42">
        <f>VLOOKUP($C35,Eingaben!$D:$K,8,FALSE)</f>
        <v>0</v>
      </c>
      <c r="K35" t="s">
        <v>288</v>
      </c>
    </row>
    <row r="37" spans="3:11" x14ac:dyDescent="0.25">
      <c r="C37" t="s">
        <v>294</v>
      </c>
      <c r="D37" t="s">
        <v>268</v>
      </c>
      <c r="J37" s="42">
        <f>VLOOKUP($C37,Eingaben!$D:$K,8,FALSE)</f>
        <v>0</v>
      </c>
      <c r="K37" t="s">
        <v>216</v>
      </c>
    </row>
    <row r="39" spans="3:11" x14ac:dyDescent="0.25">
      <c r="C39" t="str">
        <f>"ECgo"</f>
        <v>ECgo</v>
      </c>
      <c r="D39" t="s">
        <v>289</v>
      </c>
      <c r="J39" s="42">
        <f>VLOOKUP($C39,Eingaben!$D:$K,8,FALSE)</f>
        <v>0</v>
      </c>
      <c r="K39" t="s">
        <v>106</v>
      </c>
    </row>
    <row r="41" spans="3:11" x14ac:dyDescent="0.25">
      <c r="C41" t="s">
        <v>112</v>
      </c>
      <c r="D41" t="s">
        <v>113</v>
      </c>
      <c r="J41" s="42">
        <f>VLOOKUP($C41,Eingaben!$D:$K,8,FALSE)</f>
        <v>0</v>
      </c>
      <c r="K41" t="s">
        <v>114</v>
      </c>
    </row>
    <row r="44" spans="3:11" x14ac:dyDescent="0.25">
      <c r="D44" t="s">
        <v>290</v>
      </c>
      <c r="J44" s="19">
        <f>J19*J21</f>
        <v>0</v>
      </c>
    </row>
    <row r="45" spans="3:11" x14ac:dyDescent="0.25">
      <c r="D45" t="s">
        <v>126</v>
      </c>
      <c r="J45" s="19">
        <f>J27*(WohnFl!J21+VerzStPl!J14)</f>
        <v>0</v>
      </c>
    </row>
    <row r="46" spans="3:11" x14ac:dyDescent="0.25">
      <c r="D46" t="s">
        <v>141</v>
      </c>
      <c r="J46" s="19">
        <f>PV(J41/100,J29,J45,,0)</f>
        <v>0</v>
      </c>
    </row>
    <row r="47" spans="3:11" x14ac:dyDescent="0.25">
      <c r="D47" t="s">
        <v>172</v>
      </c>
      <c r="J47" s="19">
        <f>J19*J31</f>
        <v>0</v>
      </c>
    </row>
    <row r="48" spans="3:11" x14ac:dyDescent="0.25">
      <c r="D48" t="s">
        <v>124</v>
      </c>
      <c r="J48" s="19">
        <f>PV(J41/100,J29,J47,,0)</f>
        <v>0</v>
      </c>
    </row>
    <row r="49" spans="3:10" x14ac:dyDescent="0.25">
      <c r="D49" t="s">
        <v>526</v>
      </c>
      <c r="J49" s="19">
        <f>J19*J23</f>
        <v>0</v>
      </c>
    </row>
    <row r="50" spans="3:10" x14ac:dyDescent="0.25">
      <c r="D50" t="s">
        <v>355</v>
      </c>
      <c r="J50" s="19">
        <f>J19*J33</f>
        <v>0</v>
      </c>
    </row>
    <row r="51" spans="3:10" x14ac:dyDescent="0.25">
      <c r="D51" t="s">
        <v>505</v>
      </c>
      <c r="J51" s="19">
        <f>PV(J41/100,J29,J50,,0)</f>
        <v>0</v>
      </c>
    </row>
    <row r="52" spans="3:10" x14ac:dyDescent="0.25">
      <c r="D52" t="s">
        <v>527</v>
      </c>
      <c r="J52" s="19">
        <f>J19*J25</f>
        <v>0</v>
      </c>
    </row>
    <row r="53" spans="3:10" x14ac:dyDescent="0.25">
      <c r="D53" t="s">
        <v>507</v>
      </c>
      <c r="J53" s="19">
        <f>J19*J35</f>
        <v>0</v>
      </c>
    </row>
    <row r="54" spans="3:10" x14ac:dyDescent="0.25">
      <c r="D54" t="s">
        <v>508</v>
      </c>
      <c r="J54" s="19">
        <f>PV(J41/100,J29,J53,,0)</f>
        <v>0</v>
      </c>
    </row>
    <row r="55" spans="3:10" x14ac:dyDescent="0.25">
      <c r="D55" t="s">
        <v>269</v>
      </c>
      <c r="J55" s="19">
        <f>ÖVInf!J29*J37/100</f>
        <v>0</v>
      </c>
    </row>
    <row r="56" spans="3:10" x14ac:dyDescent="0.25">
      <c r="D56" t="s">
        <v>270</v>
      </c>
      <c r="J56" s="19">
        <f>PV(J41/100,J29,J55,,0)</f>
        <v>0</v>
      </c>
    </row>
    <row r="57" spans="3:10" x14ac:dyDescent="0.25">
      <c r="D57" t="s">
        <v>265</v>
      </c>
      <c r="J57" s="19">
        <f>J39*(WohnFl!J21+VerzStPl!J14)</f>
        <v>0</v>
      </c>
    </row>
    <row r="58" spans="3:10" x14ac:dyDescent="0.25">
      <c r="D58" t="s">
        <v>266</v>
      </c>
      <c r="J58" s="19">
        <f>PV(J41/100,J29,J57,,0)</f>
        <v>0</v>
      </c>
    </row>
    <row r="59" spans="3:10" x14ac:dyDescent="0.25">
      <c r="J59" s="19"/>
    </row>
    <row r="61" spans="3:10" x14ac:dyDescent="0.25">
      <c r="C61" t="s">
        <v>259</v>
      </c>
      <c r="D61" t="s">
        <v>291</v>
      </c>
    </row>
    <row r="62" spans="3:10" x14ac:dyDescent="0.25">
      <c r="D62" t="s">
        <v>261</v>
      </c>
    </row>
    <row r="63" spans="3:10" x14ac:dyDescent="0.25">
      <c r="D63" t="s">
        <v>292</v>
      </c>
    </row>
  </sheetData>
  <mergeCells count="5">
    <mergeCell ref="F9:G9"/>
    <mergeCell ref="H9:I9"/>
    <mergeCell ref="J9:K9"/>
    <mergeCell ref="L9:M9"/>
    <mergeCell ref="N9:O9"/>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63"/>
  <sheetViews>
    <sheetView topLeftCell="C4"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158</v>
      </c>
    </row>
    <row r="4" spans="3:15" ht="15.75" x14ac:dyDescent="0.25">
      <c r="D4" s="18" t="s">
        <v>159</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52.5" thickTop="1" thickBot="1" x14ac:dyDescent="0.3">
      <c r="D11" s="28" t="s">
        <v>158</v>
      </c>
      <c r="E11" s="29" t="s">
        <v>295</v>
      </c>
      <c r="F11" s="24">
        <f>-J44</f>
        <v>0</v>
      </c>
      <c r="G11" s="24">
        <f>-J46</f>
        <v>0</v>
      </c>
      <c r="H11" s="24">
        <f>-J49</f>
        <v>0</v>
      </c>
      <c r="I11" s="11" t="s">
        <v>82</v>
      </c>
      <c r="J11" s="24">
        <f>-J52</f>
        <v>0</v>
      </c>
      <c r="K11" s="11" t="s">
        <v>29</v>
      </c>
      <c r="L11" s="24">
        <f>J46</f>
        <v>0</v>
      </c>
      <c r="M11" s="11" t="s">
        <v>78</v>
      </c>
      <c r="N11" s="11" t="s">
        <v>29</v>
      </c>
      <c r="O11" s="11" t="s">
        <v>85</v>
      </c>
    </row>
    <row r="12" spans="3:15" ht="51.75" thickBot="1" x14ac:dyDescent="0.3">
      <c r="D12" s="22" t="s">
        <v>159</v>
      </c>
      <c r="E12" s="12" t="s">
        <v>43</v>
      </c>
      <c r="F12" s="25">
        <f>J48</f>
        <v>0</v>
      </c>
      <c r="G12" s="10" t="s">
        <v>29</v>
      </c>
      <c r="H12" s="25">
        <f>J51</f>
        <v>0</v>
      </c>
      <c r="I12" s="10" t="s">
        <v>82</v>
      </c>
      <c r="J12" s="25">
        <f>J54</f>
        <v>0</v>
      </c>
      <c r="K12" s="10" t="s">
        <v>29</v>
      </c>
      <c r="L12" s="25">
        <f>J58</f>
        <v>0</v>
      </c>
      <c r="M12" s="10" t="s">
        <v>79</v>
      </c>
      <c r="N12" s="10" t="s">
        <v>29</v>
      </c>
      <c r="O12" s="10" t="s">
        <v>314</v>
      </c>
    </row>
    <row r="15" spans="3:15" x14ac:dyDescent="0.25">
      <c r="C15" t="str">
        <f>"StPo"</f>
        <v>StPo</v>
      </c>
      <c r="D15" t="s">
        <v>98</v>
      </c>
      <c r="J15" s="20">
        <f>VerzStPl!J22</f>
        <v>0</v>
      </c>
      <c r="K15" t="s">
        <v>102</v>
      </c>
    </row>
    <row r="17" spans="3:11" x14ac:dyDescent="0.25">
      <c r="C17" t="str">
        <f>"QELa"</f>
        <v>QELa</v>
      </c>
      <c r="D17" t="s">
        <v>308</v>
      </c>
      <c r="J17" s="42">
        <f>VLOOKUP($C17,Eingaben!$D:$K,8,FALSE)</f>
        <v>0</v>
      </c>
      <c r="K17" t="s">
        <v>309</v>
      </c>
    </row>
    <row r="18" spans="3:11" x14ac:dyDescent="0.25">
      <c r="J18" s="19"/>
    </row>
    <row r="19" spans="3:11" x14ac:dyDescent="0.25">
      <c r="C19" t="str">
        <f>"ZELa"</f>
        <v>ZELa</v>
      </c>
      <c r="D19" t="s">
        <v>300</v>
      </c>
      <c r="J19" s="20">
        <f>ROUNDDOWN(IF(ISBLANK(VLOOKUP($C19,Eingaben!$D:$K,8,FALSE)),J15*J17,VLOOKUP($C19,Eingaben!$D:$K,8,FALSE)),)</f>
        <v>0</v>
      </c>
    </row>
    <row r="20" spans="3:11" x14ac:dyDescent="0.25">
      <c r="J20" s="19"/>
    </row>
    <row r="21" spans="3:11" x14ac:dyDescent="0.25">
      <c r="C21" t="str">
        <f>"IELa"</f>
        <v>IELa</v>
      </c>
      <c r="D21" t="s">
        <v>301</v>
      </c>
      <c r="J21" s="42">
        <f>VLOOKUP($C21,Eingaben!$D:$K,8,FALSE)</f>
        <v>0</v>
      </c>
      <c r="K21" t="s">
        <v>106</v>
      </c>
    </row>
    <row r="22" spans="3:11" x14ac:dyDescent="0.25">
      <c r="J22" s="19"/>
    </row>
    <row r="23" spans="3:11" x14ac:dyDescent="0.25">
      <c r="C23" t="str">
        <f>"IELaK"</f>
        <v>IELaK</v>
      </c>
      <c r="D23" t="s">
        <v>521</v>
      </c>
      <c r="J23" s="42">
        <f>VLOOKUP($C23,Eingaben!$D:$K,8,FALSE)</f>
        <v>0</v>
      </c>
      <c r="K23" t="s">
        <v>106</v>
      </c>
    </row>
    <row r="24" spans="3:11" x14ac:dyDescent="0.25">
      <c r="J24" s="19"/>
    </row>
    <row r="25" spans="3:11" x14ac:dyDescent="0.25">
      <c r="C25" t="str">
        <f>"IELaV"</f>
        <v>IELaV</v>
      </c>
      <c r="D25" t="s">
        <v>522</v>
      </c>
      <c r="J25" s="42">
        <f>VLOOKUP($C25,Eingaben!$D:$K,8,FALSE)</f>
        <v>0</v>
      </c>
      <c r="K25" t="s">
        <v>106</v>
      </c>
    </row>
    <row r="26" spans="3:11" x14ac:dyDescent="0.25">
      <c r="J26" s="19"/>
    </row>
    <row r="27" spans="3:11" x14ac:dyDescent="0.25">
      <c r="C27" t="str">
        <f>"KMELa"</f>
        <v>KMELa</v>
      </c>
      <c r="D27" t="s">
        <v>125</v>
      </c>
      <c r="J27" s="42">
        <f>VLOOKUP($C27,Eingaben!$D:$K,8,FALSE)</f>
        <v>0</v>
      </c>
      <c r="K27" t="s">
        <v>106</v>
      </c>
    </row>
    <row r="29" spans="3:11" x14ac:dyDescent="0.25">
      <c r="C29" t="str">
        <f>"NDELa"</f>
        <v>NDELa</v>
      </c>
      <c r="D29" t="s">
        <v>302</v>
      </c>
      <c r="J29" s="42">
        <f>VLOOKUP($C29,Eingaben!$D:$K,8,FALSE)</f>
        <v>0</v>
      </c>
      <c r="K29" t="s">
        <v>107</v>
      </c>
    </row>
    <row r="31" spans="3:11" x14ac:dyDescent="0.25">
      <c r="C31" t="s">
        <v>297</v>
      </c>
      <c r="D31" t="s">
        <v>523</v>
      </c>
      <c r="J31" s="42">
        <f>VLOOKUP($C31,Eingaben!$D:$K,8,FALSE)</f>
        <v>0</v>
      </c>
      <c r="K31" t="s">
        <v>303</v>
      </c>
    </row>
    <row r="33" spans="3:11" x14ac:dyDescent="0.25">
      <c r="C33" t="s">
        <v>494</v>
      </c>
      <c r="D33" t="s">
        <v>524</v>
      </c>
      <c r="J33" s="42">
        <f>VLOOKUP($C33,Eingaben!$D:$K,8,FALSE)</f>
        <v>0</v>
      </c>
      <c r="K33" t="s">
        <v>303</v>
      </c>
    </row>
    <row r="35" spans="3:11" x14ac:dyDescent="0.25">
      <c r="C35" t="s">
        <v>495</v>
      </c>
      <c r="D35" t="s">
        <v>525</v>
      </c>
      <c r="J35" s="42">
        <f>VLOOKUP($C35,Eingaben!$D:$K,8,FALSE)</f>
        <v>0</v>
      </c>
      <c r="K35" t="s">
        <v>303</v>
      </c>
    </row>
    <row r="37" spans="3:11" x14ac:dyDescent="0.25">
      <c r="C37" t="s">
        <v>298</v>
      </c>
      <c r="D37" t="s">
        <v>268</v>
      </c>
      <c r="J37" s="42">
        <f>VLOOKUP($C37,Eingaben!$D:$K,8,FALSE)</f>
        <v>0</v>
      </c>
      <c r="K37" t="s">
        <v>216</v>
      </c>
    </row>
    <row r="39" spans="3:11" x14ac:dyDescent="0.25">
      <c r="C39" t="str">
        <f>"EELa"</f>
        <v>EELa</v>
      </c>
      <c r="D39" t="s">
        <v>307</v>
      </c>
      <c r="J39" s="42">
        <f>VLOOKUP($C39,Eingaben!$D:$K,8,FALSE)</f>
        <v>0</v>
      </c>
      <c r="K39" t="s">
        <v>106</v>
      </c>
    </row>
    <row r="41" spans="3:11" x14ac:dyDescent="0.25">
      <c r="C41" t="s">
        <v>112</v>
      </c>
      <c r="D41" t="s">
        <v>113</v>
      </c>
      <c r="J41" s="42">
        <f>VLOOKUP($C41,Eingaben!$D:$K,8,FALSE)</f>
        <v>0</v>
      </c>
      <c r="K41" t="s">
        <v>114</v>
      </c>
    </row>
    <row r="44" spans="3:11" x14ac:dyDescent="0.25">
      <c r="D44" t="s">
        <v>306</v>
      </c>
      <c r="J44" s="19">
        <f>J19*J21</f>
        <v>0</v>
      </c>
    </row>
    <row r="45" spans="3:11" x14ac:dyDescent="0.25">
      <c r="D45" t="s">
        <v>126</v>
      </c>
      <c r="J45" s="19">
        <f>J27*(WohnFl!J21+VerzStPl!J14)</f>
        <v>0</v>
      </c>
    </row>
    <row r="46" spans="3:11" x14ac:dyDescent="0.25">
      <c r="D46" t="s">
        <v>141</v>
      </c>
      <c r="J46" s="19">
        <f>PV(J41/100,J29,J45,,0)</f>
        <v>0</v>
      </c>
    </row>
    <row r="47" spans="3:11" x14ac:dyDescent="0.25">
      <c r="D47" t="s">
        <v>172</v>
      </c>
      <c r="J47" s="19">
        <f>J19*J31</f>
        <v>0</v>
      </c>
    </row>
    <row r="48" spans="3:11" x14ac:dyDescent="0.25">
      <c r="D48" t="s">
        <v>124</v>
      </c>
      <c r="J48" s="19">
        <f>PV(J41/100,J29,J47,,0)</f>
        <v>0</v>
      </c>
    </row>
    <row r="49" spans="3:10" x14ac:dyDescent="0.25">
      <c r="D49" t="s">
        <v>528</v>
      </c>
      <c r="J49" s="19">
        <f>J19*J23</f>
        <v>0</v>
      </c>
    </row>
    <row r="50" spans="3:10" x14ac:dyDescent="0.25">
      <c r="D50" t="s">
        <v>355</v>
      </c>
      <c r="J50" s="19">
        <f>J19*J33</f>
        <v>0</v>
      </c>
    </row>
    <row r="51" spans="3:10" x14ac:dyDescent="0.25">
      <c r="D51" t="s">
        <v>505</v>
      </c>
      <c r="J51" s="19">
        <f>PV(J41/100,J29,J50,,0)</f>
        <v>0</v>
      </c>
    </row>
    <row r="52" spans="3:10" x14ac:dyDescent="0.25">
      <c r="D52" t="s">
        <v>529</v>
      </c>
      <c r="J52" s="19">
        <f>J19*J25</f>
        <v>0</v>
      </c>
    </row>
    <row r="53" spans="3:10" x14ac:dyDescent="0.25">
      <c r="D53" t="s">
        <v>507</v>
      </c>
      <c r="J53" s="19">
        <f>J19*J35</f>
        <v>0</v>
      </c>
    </row>
    <row r="54" spans="3:10" x14ac:dyDescent="0.25">
      <c r="D54" t="s">
        <v>508</v>
      </c>
      <c r="J54" s="19">
        <f>PV(J41/100,J29,J53,,0)</f>
        <v>0</v>
      </c>
    </row>
    <row r="55" spans="3:10" x14ac:dyDescent="0.25">
      <c r="D55" t="s">
        <v>269</v>
      </c>
      <c r="J55" s="19">
        <f>ÖVInf!J29*J37/100</f>
        <v>0</v>
      </c>
    </row>
    <row r="56" spans="3:10" x14ac:dyDescent="0.25">
      <c r="D56" t="s">
        <v>270</v>
      </c>
      <c r="J56" s="19">
        <f>PV(J41/100,J29,J55,,0)</f>
        <v>0</v>
      </c>
    </row>
    <row r="57" spans="3:10" x14ac:dyDescent="0.25">
      <c r="D57" t="s">
        <v>265</v>
      </c>
      <c r="J57" s="19">
        <f>J39*(WohnFl!J21+VerzStPl!J14)</f>
        <v>0</v>
      </c>
    </row>
    <row r="58" spans="3:10" x14ac:dyDescent="0.25">
      <c r="D58" t="s">
        <v>266</v>
      </c>
      <c r="J58" s="19">
        <f>PV(J41/100,J29,J57,,0)</f>
        <v>0</v>
      </c>
    </row>
    <row r="59" spans="3:10" x14ac:dyDescent="0.25">
      <c r="J59" s="19"/>
    </row>
    <row r="61" spans="3:10" x14ac:dyDescent="0.25">
      <c r="C61" t="s">
        <v>259</v>
      </c>
      <c r="D61" t="s">
        <v>304</v>
      </c>
    </row>
    <row r="62" spans="3:10" x14ac:dyDescent="0.25">
      <c r="D62" t="s">
        <v>261</v>
      </c>
    </row>
    <row r="63" spans="3:10" x14ac:dyDescent="0.25">
      <c r="D63" t="s">
        <v>305</v>
      </c>
    </row>
  </sheetData>
  <mergeCells count="5">
    <mergeCell ref="F9:G9"/>
    <mergeCell ref="H9:I9"/>
    <mergeCell ref="J9:K9"/>
    <mergeCell ref="L9:M9"/>
    <mergeCell ref="N9:O9"/>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38"/>
  <sheetViews>
    <sheetView topLeftCell="C10" workbookViewId="0">
      <selection activeCell="J32" sqref="J32"/>
    </sheetView>
  </sheetViews>
  <sheetFormatPr baseColWidth="10" defaultRowHeight="15" x14ac:dyDescent="0.25"/>
  <cols>
    <col min="4" max="4" width="31.140625" customWidth="1"/>
    <col min="5" max="15" width="18.5703125" customWidth="1"/>
  </cols>
  <sheetData>
    <row r="3" spans="4:15" ht="15.75" x14ac:dyDescent="0.25">
      <c r="D3" s="18" t="s">
        <v>343</v>
      </c>
    </row>
    <row r="4" spans="4:15" ht="15.75" x14ac:dyDescent="0.25">
      <c r="D4" s="18"/>
    </row>
    <row r="8" spans="4:15" ht="15.75" thickBot="1" x14ac:dyDescent="0.3"/>
    <row r="9" spans="4:15" ht="16.5" thickBot="1" x14ac:dyDescent="0.3">
      <c r="D9" s="1" t="s">
        <v>0</v>
      </c>
      <c r="E9" s="1" t="s">
        <v>1</v>
      </c>
      <c r="F9" s="65" t="s">
        <v>12</v>
      </c>
      <c r="G9" s="66"/>
      <c r="H9" s="65" t="s">
        <v>2</v>
      </c>
      <c r="I9" s="66"/>
      <c r="J9" s="65" t="s">
        <v>13</v>
      </c>
      <c r="K9" s="66"/>
      <c r="L9" s="65" t="s">
        <v>3</v>
      </c>
      <c r="M9" s="66"/>
      <c r="N9" s="67" t="s">
        <v>92</v>
      </c>
      <c r="O9" s="66"/>
    </row>
    <row r="10" spans="4: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4:15" ht="65.25" thickTop="1" thickBot="1" x14ac:dyDescent="0.3">
      <c r="D11" s="4" t="s">
        <v>343</v>
      </c>
      <c r="E11" s="6" t="s">
        <v>342</v>
      </c>
      <c r="F11" s="24">
        <f>-J33+J35</f>
        <v>0</v>
      </c>
      <c r="G11" s="56" t="s">
        <v>29</v>
      </c>
      <c r="H11" s="24">
        <f>J37</f>
        <v>0</v>
      </c>
      <c r="I11" s="56" t="s">
        <v>29</v>
      </c>
      <c r="J11" s="56" t="s">
        <v>29</v>
      </c>
      <c r="K11" s="56" t="s">
        <v>29</v>
      </c>
      <c r="L11" s="56" t="s">
        <v>29</v>
      </c>
      <c r="M11" s="56" t="s">
        <v>29</v>
      </c>
      <c r="N11" s="56" t="s">
        <v>29</v>
      </c>
      <c r="O11" s="56" t="s">
        <v>29</v>
      </c>
    </row>
    <row r="14" spans="4:15" x14ac:dyDescent="0.25">
      <c r="J14" s="20"/>
    </row>
    <row r="15" spans="4:15" x14ac:dyDescent="0.25">
      <c r="J15" s="20"/>
    </row>
    <row r="16" spans="4:15" x14ac:dyDescent="0.25">
      <c r="J16" s="20"/>
    </row>
    <row r="17" spans="3:11" x14ac:dyDescent="0.25">
      <c r="J17" s="20"/>
    </row>
    <row r="18" spans="3:11" x14ac:dyDescent="0.25">
      <c r="J18" s="20"/>
    </row>
    <row r="19" spans="3:11" x14ac:dyDescent="0.25">
      <c r="J19" s="19"/>
    </row>
    <row r="20" spans="3:11" x14ac:dyDescent="0.25">
      <c r="C20" t="str">
        <f>"IKo"</f>
        <v>IKo</v>
      </c>
      <c r="D20" t="s">
        <v>346</v>
      </c>
      <c r="J20" s="42">
        <f>VLOOKUP($C20,Eingaben!$D:$K,8,FALSE)</f>
        <v>0</v>
      </c>
      <c r="K20" t="s">
        <v>106</v>
      </c>
    </row>
    <row r="21" spans="3:11" x14ac:dyDescent="0.25">
      <c r="J21" s="19"/>
    </row>
    <row r="22" spans="3:11" x14ac:dyDescent="0.25">
      <c r="C22" t="s">
        <v>347</v>
      </c>
      <c r="D22" t="s">
        <v>348</v>
      </c>
      <c r="J22" s="42">
        <f>VLOOKUP($C22,Eingaben!$D:$K,8,FALSE)</f>
        <v>0</v>
      </c>
      <c r="K22" t="s">
        <v>106</v>
      </c>
    </row>
    <row r="24" spans="3:11" x14ac:dyDescent="0.25">
      <c r="C24" t="s">
        <v>461</v>
      </c>
      <c r="D24" t="s">
        <v>462</v>
      </c>
      <c r="J24" s="42">
        <f>VLOOKUP($C24,Eingaben!$D:$K,8,FALSE)</f>
        <v>0</v>
      </c>
      <c r="K24" t="s">
        <v>106</v>
      </c>
    </row>
    <row r="26" spans="3:11" x14ac:dyDescent="0.25">
      <c r="C26" t="s">
        <v>349</v>
      </c>
      <c r="D26" t="s">
        <v>350</v>
      </c>
      <c r="J26" s="42">
        <f>VLOOKUP($C26,Eingaben!$D:$K,8,FALSE)</f>
        <v>0</v>
      </c>
      <c r="K26" t="s">
        <v>106</v>
      </c>
    </row>
    <row r="28" spans="3:11" x14ac:dyDescent="0.25">
      <c r="C28" t="s">
        <v>351</v>
      </c>
      <c r="D28" t="s">
        <v>352</v>
      </c>
      <c r="J28" s="42">
        <f>VLOOKUP($C28,Eingaben!$D:$K,8,FALSE)</f>
        <v>0</v>
      </c>
      <c r="K28" t="s">
        <v>107</v>
      </c>
    </row>
    <row r="30" spans="3:11" x14ac:dyDescent="0.25">
      <c r="C30" t="s">
        <v>112</v>
      </c>
      <c r="D30" t="s">
        <v>113</v>
      </c>
      <c r="J30" s="42">
        <f>VLOOKUP($C30,Eingaben!$D:$K,8,FALSE)</f>
        <v>0</v>
      </c>
      <c r="K30" t="s">
        <v>114</v>
      </c>
    </row>
    <row r="33" spans="4:10" x14ac:dyDescent="0.25">
      <c r="D33" t="s">
        <v>353</v>
      </c>
      <c r="J33" s="19">
        <f>J20</f>
        <v>0</v>
      </c>
    </row>
    <row r="34" spans="4:10" x14ac:dyDescent="0.25">
      <c r="D34" t="s">
        <v>354</v>
      </c>
      <c r="J34" s="19">
        <f>J22+J24</f>
        <v>0</v>
      </c>
    </row>
    <row r="35" spans="4:10" x14ac:dyDescent="0.25">
      <c r="D35" t="s">
        <v>464</v>
      </c>
      <c r="J35" s="19">
        <f>PV(J30/100,J28,J34,,0)</f>
        <v>0</v>
      </c>
    </row>
    <row r="36" spans="4:10" x14ac:dyDescent="0.25">
      <c r="D36" t="s">
        <v>355</v>
      </c>
      <c r="J36" s="19">
        <f>J26</f>
        <v>0</v>
      </c>
    </row>
    <row r="37" spans="4:10" x14ac:dyDescent="0.25">
      <c r="D37" t="s">
        <v>463</v>
      </c>
      <c r="J37" s="19">
        <f>PV(J30/100,J28,J36,,0)</f>
        <v>0</v>
      </c>
    </row>
    <row r="38" spans="4:10" x14ac:dyDescent="0.25">
      <c r="J38" s="19"/>
    </row>
  </sheetData>
  <mergeCells count="5">
    <mergeCell ref="F9:G9"/>
    <mergeCell ref="H9:I9"/>
    <mergeCell ref="J9:K9"/>
    <mergeCell ref="L9:M9"/>
    <mergeCell ref="N9:O9"/>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3:U255"/>
  <sheetViews>
    <sheetView showGridLines="0" zoomScale="90" zoomScaleNormal="90" workbookViewId="0">
      <selection activeCell="L29" sqref="L29"/>
    </sheetView>
  </sheetViews>
  <sheetFormatPr baseColWidth="10" defaultColWidth="11.42578125" defaultRowHeight="15.75" outlineLevelRow="2" x14ac:dyDescent="0.25"/>
  <cols>
    <col min="1" max="2" width="2.42578125" style="34" customWidth="1"/>
    <col min="3" max="3" width="11.42578125" style="18"/>
    <col min="4" max="4" width="14.28515625" style="39" hidden="1" customWidth="1"/>
    <col min="5" max="6" width="34" style="34" customWidth="1"/>
    <col min="7" max="10" width="2.7109375" style="34" customWidth="1"/>
    <col min="11" max="11" width="11.42578125" style="34"/>
    <col min="12" max="12" width="17.5703125" style="34" customWidth="1"/>
    <col min="13" max="16384" width="11.42578125" style="34"/>
  </cols>
  <sheetData>
    <row r="3" spans="3:19" ht="18" x14ac:dyDescent="0.25">
      <c r="C3" s="40" t="s">
        <v>315</v>
      </c>
      <c r="F3" s="34" t="s">
        <v>356</v>
      </c>
      <c r="K3" s="50" t="s">
        <v>533</v>
      </c>
    </row>
    <row r="4" spans="3:19" ht="18" x14ac:dyDescent="0.25">
      <c r="D4" s="41"/>
    </row>
    <row r="5" spans="3:19" ht="18" x14ac:dyDescent="0.25">
      <c r="D5" s="41"/>
      <c r="E5" s="50" t="s">
        <v>424</v>
      </c>
      <c r="K5" s="62" t="s">
        <v>530</v>
      </c>
      <c r="L5" s="63"/>
      <c r="M5" s="63"/>
      <c r="N5" s="63"/>
      <c r="O5" s="63"/>
      <c r="P5" s="63"/>
      <c r="Q5" s="63"/>
      <c r="R5" s="63"/>
      <c r="S5" s="63"/>
    </row>
    <row r="6" spans="3:19" ht="18" x14ac:dyDescent="0.25">
      <c r="D6" s="41"/>
      <c r="E6" s="51" t="s">
        <v>449</v>
      </c>
      <c r="K6" s="63"/>
      <c r="L6" s="63"/>
      <c r="M6" s="63"/>
      <c r="N6" s="63"/>
      <c r="O6" s="63"/>
      <c r="P6" s="63"/>
      <c r="Q6" s="63"/>
      <c r="R6" s="63"/>
      <c r="S6" s="63"/>
    </row>
    <row r="7" spans="3:19" x14ac:dyDescent="0.25">
      <c r="D7" s="34"/>
      <c r="E7" s="51" t="s">
        <v>450</v>
      </c>
    </row>
    <row r="8" spans="3:19" x14ac:dyDescent="0.25">
      <c r="E8" s="51" t="s">
        <v>451</v>
      </c>
      <c r="M8" s="59" t="s">
        <v>332</v>
      </c>
      <c r="N8" s="60"/>
      <c r="O8" s="60"/>
      <c r="P8" s="60"/>
      <c r="Q8" s="60"/>
      <c r="R8" s="60"/>
      <c r="S8" s="61"/>
    </row>
    <row r="9" spans="3:19" x14ac:dyDescent="0.25">
      <c r="E9" s="51"/>
    </row>
    <row r="10" spans="3:19" x14ac:dyDescent="0.25">
      <c r="C10" s="18" t="s">
        <v>425</v>
      </c>
    </row>
    <row r="11" spans="3:19" x14ac:dyDescent="0.25">
      <c r="C11" s="18" t="s">
        <v>452</v>
      </c>
      <c r="D11" s="39" t="s">
        <v>101</v>
      </c>
      <c r="E11" s="34" t="s">
        <v>359</v>
      </c>
      <c r="K11" s="35"/>
      <c r="L11" s="34" t="s">
        <v>102</v>
      </c>
      <c r="M11" s="59"/>
      <c r="N11" s="60"/>
      <c r="O11" s="60"/>
      <c r="P11" s="60"/>
      <c r="Q11" s="60"/>
      <c r="R11" s="60"/>
      <c r="S11" s="61"/>
    </row>
    <row r="12" spans="3:19" x14ac:dyDescent="0.25">
      <c r="K12" s="36"/>
    </row>
    <row r="13" spans="3:19" x14ac:dyDescent="0.25">
      <c r="C13" s="18" t="s">
        <v>452</v>
      </c>
      <c r="D13" s="39" t="s">
        <v>105</v>
      </c>
      <c r="E13" s="34" t="s">
        <v>455</v>
      </c>
      <c r="K13" s="35"/>
      <c r="L13" s="34" t="s">
        <v>106</v>
      </c>
      <c r="M13" s="59"/>
      <c r="N13" s="60"/>
      <c r="O13" s="60"/>
      <c r="P13" s="60"/>
      <c r="Q13" s="60"/>
      <c r="R13" s="60"/>
      <c r="S13" s="61"/>
    </row>
    <row r="14" spans="3:19" x14ac:dyDescent="0.25">
      <c r="K14" s="36"/>
    </row>
    <row r="15" spans="3:19" x14ac:dyDescent="0.25">
      <c r="C15" s="18" t="s">
        <v>452</v>
      </c>
      <c r="D15" s="39" t="s">
        <v>453</v>
      </c>
      <c r="E15" s="34" t="s">
        <v>454</v>
      </c>
      <c r="K15" s="35"/>
      <c r="L15" s="34" t="s">
        <v>106</v>
      </c>
      <c r="M15" s="59"/>
      <c r="N15" s="60"/>
      <c r="O15" s="60"/>
      <c r="P15" s="60"/>
      <c r="Q15" s="60"/>
      <c r="R15" s="60"/>
      <c r="S15" s="61"/>
    </row>
    <row r="16" spans="3:19" x14ac:dyDescent="0.25">
      <c r="K16" s="36"/>
    </row>
    <row r="17" spans="3:21" x14ac:dyDescent="0.25">
      <c r="C17" s="18" t="s">
        <v>452</v>
      </c>
      <c r="D17" s="39" t="s">
        <v>112</v>
      </c>
      <c r="E17" s="34" t="s">
        <v>362</v>
      </c>
      <c r="K17" s="37"/>
      <c r="L17" s="34" t="s">
        <v>114</v>
      </c>
      <c r="M17" s="59"/>
      <c r="N17" s="60"/>
      <c r="O17" s="60"/>
      <c r="P17" s="60"/>
      <c r="Q17" s="60"/>
      <c r="R17" s="60"/>
      <c r="S17" s="61"/>
    </row>
    <row r="19" spans="3:21" x14ac:dyDescent="0.25">
      <c r="C19" s="18" t="s">
        <v>426</v>
      </c>
    </row>
    <row r="20" spans="3:21" x14ac:dyDescent="0.25">
      <c r="C20" s="18" t="s">
        <v>452</v>
      </c>
      <c r="D20" s="39" t="str">
        <f>"StPv"</f>
        <v>StPv</v>
      </c>
      <c r="E20" s="34" t="s">
        <v>422</v>
      </c>
      <c r="K20" s="52"/>
      <c r="L20" s="34" t="s">
        <v>331</v>
      </c>
      <c r="M20" s="59"/>
      <c r="N20" s="60"/>
      <c r="O20" s="60"/>
      <c r="P20" s="60"/>
      <c r="Q20" s="60"/>
      <c r="R20" s="60"/>
      <c r="S20" s="61"/>
    </row>
    <row r="21" spans="3:21" x14ac:dyDescent="0.25">
      <c r="E21" s="34" t="s">
        <v>423</v>
      </c>
      <c r="Q21" s="36"/>
    </row>
    <row r="22" spans="3:21" x14ac:dyDescent="0.25">
      <c r="K22" s="36"/>
    </row>
    <row r="23" spans="3:21" x14ac:dyDescent="0.25">
      <c r="C23" s="18" t="s">
        <v>452</v>
      </c>
      <c r="D23" s="39" t="str">
        <f>"StPo"</f>
        <v>StPo</v>
      </c>
      <c r="E23" s="34" t="s">
        <v>329</v>
      </c>
      <c r="K23" s="52"/>
      <c r="L23" s="34" t="s">
        <v>331</v>
      </c>
      <c r="M23" s="59"/>
      <c r="N23" s="60"/>
      <c r="O23" s="60"/>
      <c r="P23" s="60"/>
      <c r="Q23" s="60"/>
      <c r="R23" s="60"/>
      <c r="S23" s="61"/>
    </row>
    <row r="25" spans="3:21" x14ac:dyDescent="0.25">
      <c r="C25" s="18" t="s">
        <v>452</v>
      </c>
      <c r="D25" s="39" t="str">
        <f>"IStP"</f>
        <v>IStP</v>
      </c>
      <c r="E25" s="34" t="s">
        <v>360</v>
      </c>
      <c r="K25" s="35"/>
      <c r="L25" s="34" t="s">
        <v>106</v>
      </c>
      <c r="M25" s="59"/>
      <c r="N25" s="60"/>
      <c r="O25" s="60"/>
      <c r="P25" s="60"/>
      <c r="Q25" s="60"/>
      <c r="R25" s="60"/>
      <c r="S25" s="61"/>
    </row>
    <row r="26" spans="3:21" x14ac:dyDescent="0.25">
      <c r="K26" s="36"/>
    </row>
    <row r="27" spans="3:21" x14ac:dyDescent="0.25">
      <c r="C27" s="18" t="s">
        <v>452</v>
      </c>
      <c r="D27" s="39" t="s">
        <v>321</v>
      </c>
      <c r="E27" s="34" t="s">
        <v>322</v>
      </c>
      <c r="K27" s="35"/>
      <c r="L27" s="34" t="s">
        <v>106</v>
      </c>
      <c r="M27" s="59"/>
      <c r="N27" s="60"/>
      <c r="O27" s="60"/>
      <c r="P27" s="60"/>
      <c r="Q27" s="60"/>
      <c r="R27" s="60"/>
      <c r="S27" s="61"/>
      <c r="U27" s="58"/>
    </row>
    <row r="28" spans="3:21" x14ac:dyDescent="0.25">
      <c r="K28" s="36"/>
    </row>
    <row r="29" spans="3:21" x14ac:dyDescent="0.25">
      <c r="C29" s="18" t="s">
        <v>452</v>
      </c>
      <c r="D29" s="39" t="str">
        <f>"NDStP"</f>
        <v>NDStP</v>
      </c>
      <c r="E29" s="34" t="s">
        <v>361</v>
      </c>
      <c r="K29" s="35"/>
      <c r="L29" s="34" t="s">
        <v>107</v>
      </c>
      <c r="M29" s="59"/>
      <c r="N29" s="60"/>
      <c r="O29" s="60"/>
      <c r="P29" s="60"/>
      <c r="Q29" s="60"/>
      <c r="R29" s="60"/>
      <c r="S29" s="61"/>
    </row>
    <row r="31" spans="3:21" x14ac:dyDescent="0.25">
      <c r="D31" s="39" t="s">
        <v>325</v>
      </c>
      <c r="E31" s="34" t="s">
        <v>363</v>
      </c>
      <c r="K31" s="35"/>
      <c r="L31" s="34" t="s">
        <v>103</v>
      </c>
      <c r="M31" s="59"/>
      <c r="N31" s="60"/>
      <c r="O31" s="60"/>
      <c r="P31" s="60"/>
      <c r="Q31" s="60"/>
      <c r="R31" s="60"/>
      <c r="S31" s="61"/>
    </row>
    <row r="32" spans="3:21" x14ac:dyDescent="0.25">
      <c r="K32" s="36"/>
      <c r="N32" s="34" t="s">
        <v>133</v>
      </c>
      <c r="O32" s="36" t="str">
        <f>IF(K193+K206+K36+K31=100,"OK","Prüfen!")</f>
        <v>Prüfen!</v>
      </c>
    </row>
    <row r="33" spans="3:21" x14ac:dyDescent="0.25">
      <c r="D33" s="39" t="s">
        <v>327</v>
      </c>
      <c r="E33" s="34" t="s">
        <v>326</v>
      </c>
      <c r="K33" s="35"/>
      <c r="L33" s="34" t="s">
        <v>106</v>
      </c>
      <c r="M33" s="59"/>
      <c r="N33" s="60"/>
      <c r="O33" s="60"/>
      <c r="P33" s="60"/>
      <c r="Q33" s="60"/>
      <c r="R33" s="60"/>
      <c r="S33" s="61"/>
      <c r="U33" s="58"/>
    </row>
    <row r="35" spans="3:21" x14ac:dyDescent="0.25">
      <c r="C35" s="18" t="s">
        <v>427</v>
      </c>
    </row>
    <row r="36" spans="3:21" hidden="1" outlineLevel="2" x14ac:dyDescent="0.25">
      <c r="D36" s="39" t="str">
        <f>"RaSt"</f>
        <v>RaSt</v>
      </c>
      <c r="E36" s="34" t="s">
        <v>374</v>
      </c>
      <c r="K36" s="35"/>
      <c r="L36" s="34" t="s">
        <v>103</v>
      </c>
      <c r="M36" s="59"/>
      <c r="N36" s="60"/>
      <c r="O36" s="60"/>
      <c r="P36" s="60"/>
      <c r="Q36" s="60"/>
      <c r="R36" s="60"/>
      <c r="S36" s="61"/>
    </row>
    <row r="37" spans="3:21" hidden="1" outlineLevel="2" x14ac:dyDescent="0.25">
      <c r="K37" s="36"/>
      <c r="N37" s="34" t="s">
        <v>133</v>
      </c>
      <c r="O37" s="36" t="str">
        <f>IF(K193+K206+K36+K31=100,"OK","Prüfen!")</f>
        <v>Prüfen!</v>
      </c>
    </row>
    <row r="38" spans="3:21" hidden="1" outlineLevel="2" x14ac:dyDescent="0.25">
      <c r="D38" s="39" t="str">
        <f>"QRa"</f>
        <v>QRa</v>
      </c>
      <c r="E38" s="34" t="s">
        <v>375</v>
      </c>
      <c r="K38" s="38"/>
      <c r="L38" s="34" t="s">
        <v>163</v>
      </c>
      <c r="M38" s="59"/>
      <c r="N38" s="60"/>
      <c r="O38" s="60"/>
      <c r="P38" s="60"/>
      <c r="Q38" s="60"/>
      <c r="R38" s="60"/>
      <c r="S38" s="61"/>
    </row>
    <row r="39" spans="3:21" hidden="1" outlineLevel="2" x14ac:dyDescent="0.25">
      <c r="E39" s="34" t="s">
        <v>330</v>
      </c>
      <c r="K39" s="55"/>
      <c r="M39" s="64" t="str">
        <f>IF(ISNUMBER(K38)=ISNUMBER(K40),"Eingabe prüfen!","")</f>
        <v>Eingabe prüfen!</v>
      </c>
      <c r="N39" s="60"/>
    </row>
    <row r="40" spans="3:21" outlineLevel="1" collapsed="1" x14ac:dyDescent="0.25">
      <c r="D40" s="39" t="s">
        <v>337</v>
      </c>
      <c r="E40" s="34" t="s">
        <v>336</v>
      </c>
      <c r="K40" s="35"/>
      <c r="L40" s="34" t="s">
        <v>102</v>
      </c>
      <c r="M40" s="59"/>
      <c r="N40" s="60"/>
      <c r="O40" s="60"/>
      <c r="P40" s="60"/>
      <c r="Q40" s="60"/>
      <c r="R40" s="60"/>
      <c r="S40" s="61"/>
    </row>
    <row r="41" spans="3:21" outlineLevel="1" x14ac:dyDescent="0.25"/>
    <row r="42" spans="3:21" outlineLevel="1" x14ac:dyDescent="0.25">
      <c r="D42" s="39" t="str">
        <f>"IRa"</f>
        <v>IRa</v>
      </c>
      <c r="E42" s="34" t="s">
        <v>376</v>
      </c>
      <c r="K42" s="35"/>
      <c r="L42" s="34" t="s">
        <v>106</v>
      </c>
      <c r="M42" s="59"/>
      <c r="N42" s="60"/>
      <c r="O42" s="60"/>
      <c r="P42" s="60"/>
      <c r="Q42" s="60"/>
      <c r="R42" s="60"/>
      <c r="S42" s="61"/>
    </row>
    <row r="43" spans="3:21" outlineLevel="1" x14ac:dyDescent="0.25">
      <c r="K43" s="36"/>
    </row>
    <row r="44" spans="3:21" outlineLevel="1" x14ac:dyDescent="0.25">
      <c r="D44" s="39" t="str">
        <f>"NDRa"</f>
        <v>NDRa</v>
      </c>
      <c r="E44" s="34" t="s">
        <v>377</v>
      </c>
      <c r="K44" s="35"/>
      <c r="L44" s="34" t="s">
        <v>107</v>
      </c>
      <c r="M44" s="59"/>
      <c r="N44" s="60"/>
      <c r="O44" s="60"/>
      <c r="P44" s="60"/>
      <c r="Q44" s="60"/>
      <c r="R44" s="60"/>
      <c r="S44" s="61"/>
    </row>
    <row r="45" spans="3:21" outlineLevel="1" x14ac:dyDescent="0.25"/>
    <row r="46" spans="3:21" outlineLevel="1" x14ac:dyDescent="0.25">
      <c r="D46" s="39" t="s">
        <v>168</v>
      </c>
      <c r="E46" s="34" t="s">
        <v>378</v>
      </c>
      <c r="K46" s="35"/>
      <c r="L46" s="34" t="s">
        <v>170</v>
      </c>
      <c r="M46" s="59"/>
      <c r="N46" s="60"/>
      <c r="O46" s="60"/>
      <c r="P46" s="60"/>
      <c r="Q46" s="60"/>
      <c r="R46" s="60"/>
      <c r="S46" s="61"/>
      <c r="U46" s="58"/>
    </row>
    <row r="48" spans="3:21" x14ac:dyDescent="0.25">
      <c r="C48" s="18" t="s">
        <v>435</v>
      </c>
    </row>
    <row r="49" spans="4:19" outlineLevel="1" x14ac:dyDescent="0.25">
      <c r="D49" s="39" t="s">
        <v>213</v>
      </c>
      <c r="E49" s="34" t="s">
        <v>390</v>
      </c>
      <c r="K49" s="35"/>
      <c r="L49" s="34" t="s">
        <v>106</v>
      </c>
      <c r="M49" s="59"/>
      <c r="N49" s="60"/>
      <c r="O49" s="60"/>
      <c r="P49" s="60"/>
      <c r="Q49" s="60"/>
      <c r="R49" s="60"/>
      <c r="S49" s="61"/>
    </row>
    <row r="50" spans="4:19" outlineLevel="1" x14ac:dyDescent="0.25">
      <c r="K50" s="36"/>
    </row>
    <row r="51" spans="4:19" outlineLevel="1" x14ac:dyDescent="0.25">
      <c r="D51" s="39" t="s">
        <v>217</v>
      </c>
      <c r="E51" s="34" t="s">
        <v>391</v>
      </c>
      <c r="K51" s="37"/>
      <c r="L51" s="34" t="s">
        <v>216</v>
      </c>
      <c r="M51" s="59"/>
      <c r="N51" s="60"/>
      <c r="O51" s="60"/>
      <c r="P51" s="60"/>
      <c r="Q51" s="60"/>
      <c r="R51" s="60"/>
      <c r="S51" s="61"/>
    </row>
    <row r="52" spans="4:19" outlineLevel="1" x14ac:dyDescent="0.25"/>
    <row r="53" spans="4:19" outlineLevel="1" x14ac:dyDescent="0.25">
      <c r="D53" s="39" t="s">
        <v>467</v>
      </c>
      <c r="E53" s="34" t="s">
        <v>468</v>
      </c>
      <c r="K53" s="37"/>
      <c r="L53" s="34" t="s">
        <v>216</v>
      </c>
      <c r="M53" s="59"/>
      <c r="N53" s="60"/>
      <c r="O53" s="60"/>
      <c r="P53" s="60"/>
      <c r="Q53" s="60"/>
      <c r="R53" s="60"/>
      <c r="S53" s="61"/>
    </row>
    <row r="54" spans="4:19" outlineLevel="1" x14ac:dyDescent="0.25"/>
    <row r="55" spans="4:19" outlineLevel="1" x14ac:dyDescent="0.25">
      <c r="D55" s="39" t="str">
        <f>"NDÖV"</f>
        <v>NDÖV</v>
      </c>
      <c r="E55" s="34" t="s">
        <v>393</v>
      </c>
      <c r="K55" s="35"/>
      <c r="L55" s="34" t="s">
        <v>107</v>
      </c>
      <c r="M55" s="59"/>
      <c r="N55" s="60"/>
      <c r="O55" s="60"/>
      <c r="P55" s="60"/>
      <c r="Q55" s="60"/>
      <c r="R55" s="60"/>
      <c r="S55" s="61"/>
    </row>
    <row r="56" spans="4:19" outlineLevel="1" x14ac:dyDescent="0.25"/>
    <row r="57" spans="4:19" outlineLevel="1" x14ac:dyDescent="0.25">
      <c r="D57" s="39" t="str">
        <f>"lKÖV"</f>
        <v>lKÖV</v>
      </c>
      <c r="E57" s="34" t="s">
        <v>392</v>
      </c>
      <c r="K57" s="35"/>
      <c r="L57" s="34" t="s">
        <v>106</v>
      </c>
      <c r="M57" s="59"/>
      <c r="N57" s="60"/>
      <c r="O57" s="60"/>
      <c r="P57" s="60"/>
      <c r="Q57" s="60"/>
      <c r="R57" s="60"/>
      <c r="S57" s="61"/>
    </row>
    <row r="58" spans="4:19" outlineLevel="1" x14ac:dyDescent="0.25"/>
    <row r="59" spans="4:19" outlineLevel="1" x14ac:dyDescent="0.25">
      <c r="D59" s="39" t="s">
        <v>224</v>
      </c>
      <c r="E59" s="34" t="s">
        <v>225</v>
      </c>
      <c r="K59" s="35"/>
      <c r="L59" s="34" t="s">
        <v>106</v>
      </c>
      <c r="M59" s="59"/>
      <c r="N59" s="60"/>
      <c r="O59" s="60"/>
      <c r="P59" s="60"/>
      <c r="Q59" s="60"/>
      <c r="R59" s="60"/>
      <c r="S59" s="61"/>
    </row>
    <row r="60" spans="4:19" outlineLevel="1" x14ac:dyDescent="0.25"/>
    <row r="61" spans="4:19" outlineLevel="1" x14ac:dyDescent="0.25">
      <c r="D61" s="39" t="s">
        <v>222</v>
      </c>
      <c r="E61" s="34" t="s">
        <v>226</v>
      </c>
      <c r="K61" s="38"/>
      <c r="L61" s="34" t="s">
        <v>216</v>
      </c>
      <c r="M61" s="59"/>
      <c r="N61" s="60"/>
      <c r="O61" s="60"/>
      <c r="P61" s="60"/>
      <c r="Q61" s="60"/>
      <c r="R61" s="60"/>
      <c r="S61" s="61"/>
    </row>
    <row r="62" spans="4:19" outlineLevel="1" x14ac:dyDescent="0.25"/>
    <row r="63" spans="4:19" outlineLevel="1" x14ac:dyDescent="0.25">
      <c r="D63" s="39" t="s">
        <v>223</v>
      </c>
      <c r="E63" s="34" t="s">
        <v>227</v>
      </c>
      <c r="K63" s="38"/>
      <c r="L63" s="34" t="s">
        <v>216</v>
      </c>
      <c r="M63" s="59"/>
      <c r="N63" s="60"/>
      <c r="O63" s="60"/>
      <c r="P63" s="60"/>
      <c r="Q63" s="60"/>
      <c r="R63" s="60"/>
      <c r="S63" s="61"/>
    </row>
    <row r="65" spans="3:21" x14ac:dyDescent="0.25">
      <c r="C65" s="18" t="s">
        <v>428</v>
      </c>
      <c r="U65" s="58"/>
    </row>
    <row r="66" spans="3:21" hidden="1" outlineLevel="2" x14ac:dyDescent="0.25">
      <c r="D66" s="39" t="str">
        <f>"QTi"</f>
        <v>QTi</v>
      </c>
      <c r="E66" s="34" t="s">
        <v>394</v>
      </c>
      <c r="K66" s="38"/>
      <c r="L66" s="34" t="s">
        <v>323</v>
      </c>
      <c r="M66" s="59"/>
      <c r="N66" s="60"/>
      <c r="O66" s="60"/>
      <c r="P66" s="60"/>
      <c r="Q66" s="60"/>
      <c r="R66" s="60"/>
      <c r="S66" s="61"/>
    </row>
    <row r="67" spans="3:21" hidden="1" outlineLevel="2" x14ac:dyDescent="0.25">
      <c r="E67" s="34" t="s">
        <v>330</v>
      </c>
      <c r="K67" s="55"/>
      <c r="M67" s="64" t="str">
        <f>IF(ISNUMBER(K66)=ISNUMBER(K68),"Eingabe prüfen!","")</f>
        <v>Eingabe prüfen!</v>
      </c>
      <c r="N67" s="60"/>
    </row>
    <row r="68" spans="3:21" outlineLevel="1" collapsed="1" x14ac:dyDescent="0.25">
      <c r="D68" s="39" t="str">
        <f>"ZTi"</f>
        <v>ZTi</v>
      </c>
      <c r="E68" s="34" t="s">
        <v>395</v>
      </c>
      <c r="K68" s="35"/>
      <c r="L68" s="34" t="s">
        <v>102</v>
      </c>
      <c r="M68" s="59"/>
      <c r="N68" s="60"/>
      <c r="O68" s="60"/>
      <c r="P68" s="60"/>
      <c r="Q68" s="60"/>
      <c r="R68" s="60"/>
      <c r="S68" s="61"/>
    </row>
    <row r="69" spans="3:21" outlineLevel="1" x14ac:dyDescent="0.25"/>
    <row r="70" spans="3:21" outlineLevel="1" x14ac:dyDescent="0.25">
      <c r="D70" s="39" t="s">
        <v>245</v>
      </c>
      <c r="E70" s="34" t="s">
        <v>396</v>
      </c>
      <c r="K70" s="35"/>
      <c r="L70" s="34" t="s">
        <v>106</v>
      </c>
      <c r="M70" s="59"/>
      <c r="N70" s="60"/>
      <c r="O70" s="60"/>
      <c r="P70" s="60"/>
      <c r="Q70" s="60"/>
      <c r="R70" s="60"/>
      <c r="S70" s="61"/>
    </row>
    <row r="71" spans="3:21" outlineLevel="1" x14ac:dyDescent="0.25">
      <c r="K71" s="36"/>
    </row>
    <row r="72" spans="3:21" outlineLevel="1" x14ac:dyDescent="0.25">
      <c r="D72" s="39" t="s">
        <v>244</v>
      </c>
      <c r="E72" s="34" t="s">
        <v>397</v>
      </c>
      <c r="K72" s="35"/>
      <c r="L72" s="34" t="s">
        <v>106</v>
      </c>
      <c r="M72" s="59"/>
      <c r="N72" s="60"/>
      <c r="O72" s="60"/>
      <c r="P72" s="60"/>
      <c r="Q72" s="60"/>
      <c r="R72" s="60"/>
      <c r="S72" s="61"/>
    </row>
    <row r="73" spans="3:21" outlineLevel="1" x14ac:dyDescent="0.25">
      <c r="K73" s="36"/>
    </row>
    <row r="74" spans="3:21" outlineLevel="1" x14ac:dyDescent="0.25">
      <c r="D74" s="39" t="str">
        <f>"LZTi"</f>
        <v>LZTi</v>
      </c>
      <c r="E74" s="34" t="s">
        <v>398</v>
      </c>
      <c r="K74" s="35"/>
      <c r="L74" s="34" t="s">
        <v>107</v>
      </c>
      <c r="M74" s="59"/>
      <c r="N74" s="60"/>
      <c r="O74" s="60"/>
      <c r="P74" s="60"/>
      <c r="Q74" s="60"/>
      <c r="R74" s="60"/>
      <c r="S74" s="61"/>
    </row>
    <row r="75" spans="3:21" outlineLevel="1" x14ac:dyDescent="0.25"/>
    <row r="76" spans="3:21" outlineLevel="1" x14ac:dyDescent="0.25">
      <c r="D76" s="39" t="s">
        <v>237</v>
      </c>
      <c r="E76" s="34" t="s">
        <v>399</v>
      </c>
      <c r="K76" s="35"/>
      <c r="L76" s="34" t="s">
        <v>241</v>
      </c>
      <c r="M76" s="59"/>
      <c r="N76" s="60"/>
      <c r="O76" s="60"/>
      <c r="P76" s="60"/>
      <c r="Q76" s="60"/>
      <c r="R76" s="60"/>
      <c r="S76" s="61"/>
    </row>
    <row r="78" spans="3:21" x14ac:dyDescent="0.25">
      <c r="C78" s="18" t="s">
        <v>429</v>
      </c>
    </row>
    <row r="79" spans="3:21" hidden="1" outlineLevel="2" x14ac:dyDescent="0.25">
      <c r="D79" s="39" t="str">
        <f>"QCar"</f>
        <v>QCar</v>
      </c>
      <c r="E79" s="34" t="s">
        <v>400</v>
      </c>
      <c r="K79" s="38"/>
      <c r="L79" s="34" t="s">
        <v>252</v>
      </c>
      <c r="M79" s="59"/>
      <c r="N79" s="60"/>
      <c r="O79" s="60"/>
      <c r="P79" s="60"/>
      <c r="Q79" s="60"/>
      <c r="R79" s="60"/>
      <c r="S79" s="61"/>
    </row>
    <row r="80" spans="3:21" hidden="1" outlineLevel="2" x14ac:dyDescent="0.25">
      <c r="E80" s="34" t="s">
        <v>330</v>
      </c>
      <c r="M80" s="64" t="str">
        <f>IF(ISNUMBER(K79)=ISNUMBER(K81),"Eingabe prüfen!","")</f>
        <v>Eingabe prüfen!</v>
      </c>
      <c r="N80" s="60"/>
    </row>
    <row r="81" spans="4:19" outlineLevel="1" collapsed="1" x14ac:dyDescent="0.25">
      <c r="D81" s="39" t="s">
        <v>338</v>
      </c>
      <c r="E81" s="34" t="s">
        <v>401</v>
      </c>
      <c r="K81" s="35"/>
      <c r="L81" s="34" t="s">
        <v>102</v>
      </c>
      <c r="M81" s="59"/>
      <c r="N81" s="60"/>
      <c r="O81" s="60"/>
      <c r="P81" s="60"/>
      <c r="Q81" s="60"/>
      <c r="R81" s="60"/>
      <c r="S81" s="61"/>
    </row>
    <row r="82" spans="4:19" outlineLevel="1" x14ac:dyDescent="0.25"/>
    <row r="83" spans="4:19" outlineLevel="1" x14ac:dyDescent="0.25">
      <c r="D83" s="39" t="str">
        <f>"ICar"</f>
        <v>ICar</v>
      </c>
      <c r="E83" s="34" t="s">
        <v>402</v>
      </c>
      <c r="K83" s="35"/>
      <c r="L83" s="34" t="s">
        <v>106</v>
      </c>
      <c r="M83" s="59"/>
      <c r="N83" s="60"/>
      <c r="O83" s="60"/>
      <c r="P83" s="60"/>
      <c r="Q83" s="60"/>
      <c r="R83" s="60"/>
      <c r="S83" s="61"/>
    </row>
    <row r="84" spans="4:19" outlineLevel="1" x14ac:dyDescent="0.25">
      <c r="K84" s="36"/>
    </row>
    <row r="85" spans="4:19" outlineLevel="2" x14ac:dyDescent="0.25">
      <c r="D85" s="39" t="str">
        <f>"ICarK"</f>
        <v>ICarK</v>
      </c>
      <c r="E85" s="34" t="s">
        <v>471</v>
      </c>
      <c r="K85" s="35"/>
      <c r="L85" s="34" t="s">
        <v>106</v>
      </c>
      <c r="M85" s="59"/>
      <c r="N85" s="60"/>
      <c r="O85" s="60"/>
      <c r="P85" s="60"/>
      <c r="Q85" s="60"/>
      <c r="R85" s="60"/>
      <c r="S85" s="61"/>
    </row>
    <row r="86" spans="4:19" outlineLevel="2" x14ac:dyDescent="0.25">
      <c r="K86" s="36"/>
    </row>
    <row r="87" spans="4:19" outlineLevel="2" x14ac:dyDescent="0.25">
      <c r="D87" s="39" t="str">
        <f>"ICarV"</f>
        <v>ICarV</v>
      </c>
      <c r="E87" s="34" t="s">
        <v>472</v>
      </c>
      <c r="K87" s="35"/>
      <c r="L87" s="34" t="s">
        <v>106</v>
      </c>
      <c r="M87" s="59"/>
      <c r="N87" s="60"/>
      <c r="O87" s="60"/>
      <c r="P87" s="60"/>
      <c r="Q87" s="60"/>
      <c r="R87" s="60"/>
      <c r="S87" s="61"/>
    </row>
    <row r="88" spans="4:19" outlineLevel="2" x14ac:dyDescent="0.25">
      <c r="K88" s="36"/>
    </row>
    <row r="89" spans="4:19" outlineLevel="1" x14ac:dyDescent="0.25">
      <c r="D89" s="39" t="str">
        <f>"NDCar"</f>
        <v>NDCar</v>
      </c>
      <c r="E89" s="34" t="s">
        <v>403</v>
      </c>
      <c r="K89" s="35"/>
      <c r="L89" s="34" t="s">
        <v>107</v>
      </c>
      <c r="M89" s="59"/>
      <c r="N89" s="60"/>
      <c r="O89" s="60"/>
      <c r="P89" s="60"/>
      <c r="Q89" s="60"/>
      <c r="R89" s="60"/>
      <c r="S89" s="61"/>
    </row>
    <row r="90" spans="4:19" outlineLevel="1" x14ac:dyDescent="0.25"/>
    <row r="91" spans="4:19" outlineLevel="1" x14ac:dyDescent="0.25">
      <c r="D91" s="39" t="s">
        <v>256</v>
      </c>
      <c r="E91" s="34" t="s">
        <v>473</v>
      </c>
      <c r="K91" s="35"/>
      <c r="L91" s="34" t="s">
        <v>257</v>
      </c>
      <c r="M91" s="59"/>
      <c r="N91" s="60"/>
      <c r="O91" s="60"/>
      <c r="P91" s="60"/>
      <c r="Q91" s="60"/>
      <c r="R91" s="60"/>
      <c r="S91" s="61"/>
    </row>
    <row r="92" spans="4:19" outlineLevel="1" x14ac:dyDescent="0.25"/>
    <row r="93" spans="4:19" outlineLevel="2" x14ac:dyDescent="0.25">
      <c r="D93" s="39" t="s">
        <v>474</v>
      </c>
      <c r="E93" s="34" t="s">
        <v>476</v>
      </c>
      <c r="K93" s="35"/>
      <c r="L93" s="34" t="s">
        <v>257</v>
      </c>
      <c r="M93" s="59"/>
      <c r="N93" s="60"/>
      <c r="O93" s="60"/>
      <c r="P93" s="60"/>
      <c r="Q93" s="60"/>
      <c r="R93" s="60"/>
      <c r="S93" s="61"/>
    </row>
    <row r="94" spans="4:19" outlineLevel="2" x14ac:dyDescent="0.25"/>
    <row r="95" spans="4:19" outlineLevel="2" x14ac:dyDescent="0.25">
      <c r="D95" s="39" t="s">
        <v>475</v>
      </c>
      <c r="E95" s="34" t="s">
        <v>477</v>
      </c>
      <c r="K95" s="35"/>
      <c r="L95" s="34" t="s">
        <v>257</v>
      </c>
      <c r="M95" s="59"/>
      <c r="N95" s="60"/>
      <c r="O95" s="60"/>
      <c r="P95" s="60"/>
      <c r="Q95" s="60"/>
      <c r="R95" s="60"/>
      <c r="S95" s="61"/>
    </row>
    <row r="96" spans="4:19" outlineLevel="2" x14ac:dyDescent="0.25"/>
    <row r="97" spans="3:21" outlineLevel="1" x14ac:dyDescent="0.25">
      <c r="D97" s="39" t="s">
        <v>263</v>
      </c>
      <c r="E97" s="34" t="s">
        <v>268</v>
      </c>
      <c r="K97" s="38"/>
      <c r="L97" s="34" t="s">
        <v>216</v>
      </c>
      <c r="M97" s="59"/>
      <c r="N97" s="60"/>
      <c r="O97" s="60"/>
      <c r="P97" s="60"/>
      <c r="Q97" s="60"/>
      <c r="R97" s="60"/>
      <c r="S97" s="61"/>
    </row>
    <row r="98" spans="3:21" outlineLevel="1" x14ac:dyDescent="0.25"/>
    <row r="99" spans="3:21" outlineLevel="1" x14ac:dyDescent="0.25">
      <c r="D99" s="39" t="str">
        <f>"ECar"</f>
        <v>ECar</v>
      </c>
      <c r="E99" s="34" t="s">
        <v>404</v>
      </c>
      <c r="K99" s="37"/>
      <c r="L99" s="34" t="s">
        <v>106</v>
      </c>
      <c r="M99" s="59"/>
      <c r="N99" s="60"/>
      <c r="O99" s="60"/>
      <c r="P99" s="60"/>
      <c r="Q99" s="60"/>
      <c r="R99" s="60"/>
      <c r="S99" s="61"/>
    </row>
    <row r="101" spans="3:21" x14ac:dyDescent="0.25">
      <c r="C101" s="18" t="s">
        <v>430</v>
      </c>
      <c r="U101" s="58"/>
    </row>
    <row r="102" spans="3:21" hidden="1" outlineLevel="2" x14ac:dyDescent="0.25">
      <c r="D102" s="39" t="str">
        <f>"QBik"</f>
        <v>QBik</v>
      </c>
      <c r="E102" s="34" t="s">
        <v>405</v>
      </c>
      <c r="K102" s="38"/>
      <c r="L102" s="34" t="s">
        <v>279</v>
      </c>
      <c r="M102" s="59"/>
      <c r="N102" s="60"/>
      <c r="O102" s="60"/>
      <c r="P102" s="60"/>
      <c r="Q102" s="60"/>
      <c r="R102" s="60"/>
      <c r="S102" s="61"/>
    </row>
    <row r="103" spans="3:21" hidden="1" outlineLevel="2" x14ac:dyDescent="0.25">
      <c r="E103" s="34" t="s">
        <v>330</v>
      </c>
      <c r="K103" s="36"/>
      <c r="M103" s="64" t="str">
        <f>IF(ISNUMBER(K102)=ISNUMBER(K104),"Eingabe prüfen!","")</f>
        <v>Eingabe prüfen!</v>
      </c>
      <c r="N103" s="60"/>
    </row>
    <row r="104" spans="3:21" outlineLevel="1" collapsed="1" x14ac:dyDescent="0.25">
      <c r="D104" s="39" t="s">
        <v>339</v>
      </c>
      <c r="E104" s="34" t="s">
        <v>406</v>
      </c>
      <c r="K104" s="35"/>
      <c r="L104" s="34" t="s">
        <v>102</v>
      </c>
      <c r="M104" s="59"/>
      <c r="N104" s="60"/>
      <c r="O104" s="60"/>
      <c r="P104" s="60"/>
      <c r="Q104" s="60"/>
      <c r="R104" s="60"/>
      <c r="S104" s="61"/>
    </row>
    <row r="105" spans="3:21" outlineLevel="1" x14ac:dyDescent="0.25">
      <c r="K105" s="36"/>
    </row>
    <row r="106" spans="3:21" outlineLevel="1" x14ac:dyDescent="0.25">
      <c r="D106" s="39" t="str">
        <f>"IBik"</f>
        <v>IBik</v>
      </c>
      <c r="E106" s="34" t="s">
        <v>407</v>
      </c>
      <c r="K106" s="35"/>
      <c r="L106" s="34" t="s">
        <v>106</v>
      </c>
      <c r="M106" s="59"/>
      <c r="N106" s="60"/>
      <c r="O106" s="60"/>
      <c r="P106" s="60"/>
      <c r="Q106" s="60"/>
      <c r="R106" s="60"/>
      <c r="S106" s="61"/>
    </row>
    <row r="107" spans="3:21" outlineLevel="1" x14ac:dyDescent="0.25">
      <c r="K107" s="36"/>
    </row>
    <row r="108" spans="3:21" outlineLevel="2" x14ac:dyDescent="0.25">
      <c r="D108" s="39" t="str">
        <f>"IBikK"</f>
        <v>IBikK</v>
      </c>
      <c r="E108" s="34" t="s">
        <v>478</v>
      </c>
      <c r="K108" s="35"/>
      <c r="L108" s="34" t="s">
        <v>106</v>
      </c>
      <c r="M108" s="59"/>
      <c r="N108" s="60"/>
      <c r="O108" s="60"/>
      <c r="P108" s="60"/>
      <c r="Q108" s="60"/>
      <c r="R108" s="60"/>
      <c r="S108" s="61"/>
    </row>
    <row r="109" spans="3:21" outlineLevel="2" x14ac:dyDescent="0.25">
      <c r="K109" s="36"/>
    </row>
    <row r="110" spans="3:21" outlineLevel="2" x14ac:dyDescent="0.25">
      <c r="D110" s="39" t="str">
        <f>"IBikV"</f>
        <v>IBikV</v>
      </c>
      <c r="E110" s="34" t="s">
        <v>479</v>
      </c>
      <c r="K110" s="35"/>
      <c r="L110" s="34" t="s">
        <v>106</v>
      </c>
      <c r="M110" s="59"/>
      <c r="N110" s="60"/>
      <c r="O110" s="60"/>
      <c r="P110" s="60"/>
      <c r="Q110" s="60"/>
      <c r="R110" s="60"/>
      <c r="S110" s="61"/>
    </row>
    <row r="111" spans="3:21" outlineLevel="2" x14ac:dyDescent="0.25">
      <c r="K111" s="36"/>
    </row>
    <row r="112" spans="3:21" outlineLevel="1" x14ac:dyDescent="0.25">
      <c r="D112" s="39" t="str">
        <f>"NDBik"</f>
        <v>NDBik</v>
      </c>
      <c r="E112" s="34" t="s">
        <v>408</v>
      </c>
      <c r="K112" s="35"/>
      <c r="L112" s="34" t="s">
        <v>107</v>
      </c>
      <c r="M112" s="59"/>
      <c r="N112" s="60"/>
      <c r="O112" s="60"/>
      <c r="P112" s="60"/>
      <c r="Q112" s="60"/>
      <c r="R112" s="60"/>
      <c r="S112" s="61"/>
    </row>
    <row r="113" spans="3:19" outlineLevel="1" x14ac:dyDescent="0.25"/>
    <row r="114" spans="3:19" outlineLevel="1" x14ac:dyDescent="0.25">
      <c r="D114" s="39" t="s">
        <v>277</v>
      </c>
      <c r="E114" s="34" t="s">
        <v>480</v>
      </c>
      <c r="K114" s="35"/>
      <c r="L114" s="34" t="s">
        <v>280</v>
      </c>
      <c r="M114" s="59"/>
      <c r="N114" s="60"/>
      <c r="O114" s="60"/>
      <c r="P114" s="60"/>
      <c r="Q114" s="60"/>
      <c r="R114" s="60"/>
      <c r="S114" s="61"/>
    </row>
    <row r="115" spans="3:19" outlineLevel="1" x14ac:dyDescent="0.25"/>
    <row r="116" spans="3:19" outlineLevel="2" x14ac:dyDescent="0.25">
      <c r="D116" s="39" t="s">
        <v>483</v>
      </c>
      <c r="E116" s="34" t="s">
        <v>481</v>
      </c>
      <c r="K116" s="35"/>
      <c r="L116" s="34" t="s">
        <v>257</v>
      </c>
      <c r="M116" s="59"/>
      <c r="N116" s="60"/>
      <c r="O116" s="60"/>
      <c r="P116" s="60"/>
      <c r="Q116" s="60"/>
      <c r="R116" s="60"/>
      <c r="S116" s="61"/>
    </row>
    <row r="117" spans="3:19" outlineLevel="2" x14ac:dyDescent="0.25"/>
    <row r="118" spans="3:19" outlineLevel="2" x14ac:dyDescent="0.25">
      <c r="D118" s="39" t="s">
        <v>484</v>
      </c>
      <c r="E118" s="34" t="s">
        <v>482</v>
      </c>
      <c r="K118" s="35"/>
      <c r="L118" s="34" t="s">
        <v>257</v>
      </c>
      <c r="M118" s="59"/>
      <c r="N118" s="60"/>
      <c r="O118" s="60"/>
      <c r="P118" s="60"/>
      <c r="Q118" s="60"/>
      <c r="R118" s="60"/>
      <c r="S118" s="61"/>
    </row>
    <row r="119" spans="3:19" outlineLevel="2" x14ac:dyDescent="0.25"/>
    <row r="120" spans="3:19" outlineLevel="1" x14ac:dyDescent="0.25">
      <c r="D120" s="39" t="s">
        <v>278</v>
      </c>
      <c r="E120" s="34" t="s">
        <v>268</v>
      </c>
      <c r="K120" s="38"/>
      <c r="L120" s="34" t="s">
        <v>216</v>
      </c>
      <c r="M120" s="59"/>
      <c r="N120" s="60"/>
      <c r="O120" s="60"/>
      <c r="P120" s="60"/>
      <c r="Q120" s="60"/>
      <c r="R120" s="60"/>
      <c r="S120" s="61"/>
    </row>
    <row r="121" spans="3:19" outlineLevel="1" x14ac:dyDescent="0.25"/>
    <row r="122" spans="3:19" outlineLevel="1" x14ac:dyDescent="0.25">
      <c r="D122" s="39" t="str">
        <f>"EBik"</f>
        <v>EBik</v>
      </c>
      <c r="E122" s="34" t="s">
        <v>409</v>
      </c>
      <c r="K122" s="37"/>
      <c r="L122" s="34" t="s">
        <v>106</v>
      </c>
      <c r="M122" s="59"/>
      <c r="N122" s="60"/>
      <c r="O122" s="60"/>
      <c r="P122" s="60"/>
      <c r="Q122" s="60"/>
      <c r="R122" s="60"/>
      <c r="S122" s="61"/>
    </row>
    <row r="124" spans="3:19" x14ac:dyDescent="0.25">
      <c r="C124" s="18" t="s">
        <v>431</v>
      </c>
    </row>
    <row r="125" spans="3:19" hidden="1" outlineLevel="2" x14ac:dyDescent="0.25">
      <c r="D125" s="39" t="str">
        <f>"QCgo"</f>
        <v>QCgo</v>
      </c>
      <c r="E125" s="34" t="s">
        <v>410</v>
      </c>
      <c r="K125" s="38"/>
      <c r="L125" s="34" t="s">
        <v>284</v>
      </c>
      <c r="M125" s="59"/>
      <c r="N125" s="60"/>
      <c r="O125" s="60"/>
      <c r="P125" s="60"/>
      <c r="Q125" s="60"/>
      <c r="R125" s="60"/>
      <c r="S125" s="61"/>
    </row>
    <row r="126" spans="3:19" hidden="1" outlineLevel="2" x14ac:dyDescent="0.25">
      <c r="E126" s="34" t="s">
        <v>330</v>
      </c>
      <c r="K126" s="36"/>
      <c r="M126" s="64" t="str">
        <f>IF(ISNUMBER(K125)=ISNUMBER(K127),"Eingabe prüfen!","")</f>
        <v>Eingabe prüfen!</v>
      </c>
      <c r="N126" s="60"/>
    </row>
    <row r="127" spans="3:19" outlineLevel="1" collapsed="1" x14ac:dyDescent="0.25">
      <c r="D127" s="39" t="s">
        <v>340</v>
      </c>
      <c r="E127" s="34" t="s">
        <v>411</v>
      </c>
      <c r="K127" s="35"/>
      <c r="L127" s="34" t="s">
        <v>102</v>
      </c>
      <c r="M127" s="59"/>
      <c r="N127" s="60"/>
      <c r="O127" s="60"/>
      <c r="P127" s="60"/>
      <c r="Q127" s="60"/>
      <c r="R127" s="60"/>
      <c r="S127" s="61"/>
    </row>
    <row r="128" spans="3:19" outlineLevel="1" x14ac:dyDescent="0.25">
      <c r="K128" s="36"/>
    </row>
    <row r="129" spans="4:19" outlineLevel="1" x14ac:dyDescent="0.25">
      <c r="D129" s="39" t="str">
        <f>"ICgo"</f>
        <v>ICgo</v>
      </c>
      <c r="E129" s="34" t="s">
        <v>412</v>
      </c>
      <c r="K129" s="35"/>
      <c r="L129" s="34" t="s">
        <v>106</v>
      </c>
      <c r="M129" s="59"/>
      <c r="N129" s="60"/>
      <c r="O129" s="60"/>
      <c r="P129" s="60"/>
      <c r="Q129" s="60"/>
      <c r="R129" s="60"/>
      <c r="S129" s="61"/>
    </row>
    <row r="130" spans="4:19" outlineLevel="1" x14ac:dyDescent="0.25">
      <c r="K130" s="36"/>
    </row>
    <row r="131" spans="4:19" outlineLevel="2" x14ac:dyDescent="0.25">
      <c r="D131" s="39" t="str">
        <f>"ICgoK"</f>
        <v>ICgoK</v>
      </c>
      <c r="E131" s="34" t="s">
        <v>485</v>
      </c>
      <c r="K131" s="35"/>
      <c r="L131" s="34" t="s">
        <v>106</v>
      </c>
      <c r="M131" s="59"/>
      <c r="N131" s="60"/>
      <c r="O131" s="60"/>
      <c r="P131" s="60"/>
      <c r="Q131" s="60"/>
      <c r="R131" s="60"/>
      <c r="S131" s="61"/>
    </row>
    <row r="132" spans="4:19" outlineLevel="2" x14ac:dyDescent="0.25">
      <c r="K132" s="36"/>
    </row>
    <row r="133" spans="4:19" outlineLevel="2" x14ac:dyDescent="0.25">
      <c r="D133" s="39" t="str">
        <f>"ICgoV"</f>
        <v>ICgoV</v>
      </c>
      <c r="E133" s="34" t="s">
        <v>486</v>
      </c>
      <c r="K133" s="35"/>
      <c r="L133" s="34" t="s">
        <v>106</v>
      </c>
      <c r="M133" s="59"/>
      <c r="N133" s="60"/>
      <c r="O133" s="60"/>
      <c r="P133" s="60"/>
      <c r="Q133" s="60"/>
      <c r="R133" s="60"/>
      <c r="S133" s="61"/>
    </row>
    <row r="134" spans="4:19" outlineLevel="2" x14ac:dyDescent="0.25">
      <c r="K134" s="36"/>
    </row>
    <row r="135" spans="4:19" outlineLevel="1" x14ac:dyDescent="0.25">
      <c r="D135" s="39" t="str">
        <f>"NDCgo"</f>
        <v>NDCgo</v>
      </c>
      <c r="E135" s="34" t="s">
        <v>413</v>
      </c>
      <c r="K135" s="35"/>
      <c r="L135" s="34" t="s">
        <v>107</v>
      </c>
      <c r="M135" s="59"/>
      <c r="N135" s="60"/>
      <c r="O135" s="60"/>
      <c r="P135" s="60"/>
      <c r="Q135" s="60"/>
      <c r="R135" s="60"/>
      <c r="S135" s="61"/>
    </row>
    <row r="136" spans="4:19" outlineLevel="1" x14ac:dyDescent="0.25"/>
    <row r="137" spans="4:19" outlineLevel="1" x14ac:dyDescent="0.25">
      <c r="D137" s="39" t="s">
        <v>293</v>
      </c>
      <c r="E137" s="34" t="s">
        <v>487</v>
      </c>
      <c r="K137" s="35"/>
      <c r="L137" s="34" t="s">
        <v>288</v>
      </c>
      <c r="M137" s="59"/>
      <c r="N137" s="60"/>
      <c r="O137" s="60"/>
      <c r="P137" s="60"/>
      <c r="Q137" s="60"/>
      <c r="R137" s="60"/>
      <c r="S137" s="61"/>
    </row>
    <row r="138" spans="4:19" outlineLevel="1" x14ac:dyDescent="0.25"/>
    <row r="139" spans="4:19" outlineLevel="2" x14ac:dyDescent="0.25">
      <c r="D139" s="39" t="s">
        <v>491</v>
      </c>
      <c r="E139" s="34" t="s">
        <v>488</v>
      </c>
      <c r="K139" s="35"/>
      <c r="L139" s="34" t="s">
        <v>257</v>
      </c>
      <c r="M139" s="59"/>
      <c r="N139" s="60"/>
      <c r="O139" s="60"/>
      <c r="P139" s="60"/>
      <c r="Q139" s="60"/>
      <c r="R139" s="60"/>
      <c r="S139" s="61"/>
    </row>
    <row r="140" spans="4:19" outlineLevel="2" x14ac:dyDescent="0.25"/>
    <row r="141" spans="4:19" outlineLevel="2" x14ac:dyDescent="0.25">
      <c r="D141" s="39" t="s">
        <v>490</v>
      </c>
      <c r="E141" s="34" t="s">
        <v>489</v>
      </c>
      <c r="K141" s="35"/>
      <c r="L141" s="34" t="s">
        <v>257</v>
      </c>
      <c r="M141" s="59"/>
      <c r="N141" s="60"/>
      <c r="O141" s="60"/>
      <c r="P141" s="60"/>
      <c r="Q141" s="60"/>
      <c r="R141" s="60"/>
      <c r="S141" s="61"/>
    </row>
    <row r="142" spans="4:19" outlineLevel="2" x14ac:dyDescent="0.25"/>
    <row r="143" spans="4:19" outlineLevel="1" x14ac:dyDescent="0.25">
      <c r="D143" s="39" t="s">
        <v>294</v>
      </c>
      <c r="E143" s="34" t="s">
        <v>268</v>
      </c>
      <c r="K143" s="38"/>
      <c r="L143" s="34" t="s">
        <v>216</v>
      </c>
      <c r="M143" s="59"/>
      <c r="N143" s="60"/>
      <c r="O143" s="60"/>
      <c r="P143" s="60"/>
      <c r="Q143" s="60"/>
      <c r="R143" s="60"/>
      <c r="S143" s="61"/>
    </row>
    <row r="144" spans="4:19" outlineLevel="1" x14ac:dyDescent="0.25"/>
    <row r="145" spans="3:19" outlineLevel="1" x14ac:dyDescent="0.25">
      <c r="D145" s="39" t="str">
        <f>"ECgo"</f>
        <v>ECgo</v>
      </c>
      <c r="E145" s="34" t="s">
        <v>414</v>
      </c>
      <c r="K145" s="37"/>
      <c r="L145" s="34" t="s">
        <v>106</v>
      </c>
      <c r="M145" s="59"/>
      <c r="N145" s="60"/>
      <c r="O145" s="60"/>
      <c r="P145" s="60"/>
      <c r="Q145" s="60"/>
      <c r="R145" s="60"/>
      <c r="S145" s="61"/>
    </row>
    <row r="147" spans="3:19" x14ac:dyDescent="0.25">
      <c r="C147" s="18" t="s">
        <v>432</v>
      </c>
    </row>
    <row r="148" spans="3:19" hidden="1" outlineLevel="2" x14ac:dyDescent="0.25">
      <c r="D148" s="39" t="str">
        <f>"QELa"</f>
        <v>QELa</v>
      </c>
      <c r="E148" s="34" t="s">
        <v>415</v>
      </c>
      <c r="K148" s="38"/>
      <c r="L148" s="34" t="s">
        <v>309</v>
      </c>
      <c r="M148" s="59"/>
      <c r="N148" s="60"/>
      <c r="O148" s="60"/>
      <c r="P148" s="60"/>
      <c r="Q148" s="60"/>
      <c r="R148" s="60"/>
      <c r="S148" s="61"/>
    </row>
    <row r="149" spans="3:19" hidden="1" outlineLevel="2" x14ac:dyDescent="0.25">
      <c r="E149" s="34" t="s">
        <v>330</v>
      </c>
      <c r="K149" s="36"/>
      <c r="M149" s="64" t="str">
        <f>IF(ISNUMBER(K148)=ISNUMBER(K150),"Eingabe prüfen!","")</f>
        <v>Eingabe prüfen!</v>
      </c>
      <c r="N149" s="60"/>
    </row>
    <row r="150" spans="3:19" outlineLevel="1" collapsed="1" x14ac:dyDescent="0.25">
      <c r="D150" s="39" t="s">
        <v>341</v>
      </c>
      <c r="E150" s="34" t="s">
        <v>416</v>
      </c>
      <c r="K150" s="35"/>
      <c r="L150" s="34" t="s">
        <v>102</v>
      </c>
      <c r="M150" s="59"/>
      <c r="N150" s="60"/>
      <c r="O150" s="60"/>
      <c r="P150" s="60"/>
      <c r="Q150" s="60"/>
      <c r="R150" s="60"/>
      <c r="S150" s="61"/>
    </row>
    <row r="151" spans="3:19" outlineLevel="1" x14ac:dyDescent="0.25">
      <c r="K151" s="36"/>
    </row>
    <row r="152" spans="3:19" outlineLevel="1" x14ac:dyDescent="0.25">
      <c r="D152" s="39" t="str">
        <f>"IELa"</f>
        <v>IELa</v>
      </c>
      <c r="E152" s="34" t="s">
        <v>417</v>
      </c>
      <c r="K152" s="35"/>
      <c r="L152" s="34" t="s">
        <v>106</v>
      </c>
      <c r="M152" s="59"/>
      <c r="N152" s="60"/>
      <c r="O152" s="60"/>
      <c r="P152" s="60"/>
      <c r="Q152" s="60"/>
      <c r="R152" s="60"/>
      <c r="S152" s="61"/>
    </row>
    <row r="153" spans="3:19" outlineLevel="1" x14ac:dyDescent="0.25">
      <c r="K153" s="36"/>
    </row>
    <row r="154" spans="3:19" outlineLevel="2" x14ac:dyDescent="0.25">
      <c r="D154" s="39" t="str">
        <f>"IELaK"</f>
        <v>IELaK</v>
      </c>
      <c r="E154" s="34" t="s">
        <v>492</v>
      </c>
      <c r="K154" s="35"/>
      <c r="L154" s="34" t="s">
        <v>106</v>
      </c>
      <c r="M154" s="59"/>
      <c r="N154" s="60"/>
      <c r="O154" s="60"/>
      <c r="P154" s="60"/>
      <c r="Q154" s="60"/>
      <c r="R154" s="60"/>
      <c r="S154" s="61"/>
    </row>
    <row r="155" spans="3:19" outlineLevel="2" x14ac:dyDescent="0.25">
      <c r="K155" s="36"/>
    </row>
    <row r="156" spans="3:19" outlineLevel="2" x14ac:dyDescent="0.25">
      <c r="D156" s="39" t="str">
        <f>"IELaV"</f>
        <v>IELaV</v>
      </c>
      <c r="E156" s="34" t="s">
        <v>493</v>
      </c>
      <c r="K156" s="35"/>
      <c r="L156" s="34" t="s">
        <v>106</v>
      </c>
      <c r="M156" s="59"/>
      <c r="N156" s="60"/>
      <c r="O156" s="60"/>
      <c r="P156" s="60"/>
      <c r="Q156" s="60"/>
      <c r="R156" s="60"/>
      <c r="S156" s="61"/>
    </row>
    <row r="157" spans="3:19" outlineLevel="2" x14ac:dyDescent="0.25">
      <c r="K157" s="36"/>
    </row>
    <row r="158" spans="3:19" outlineLevel="1" x14ac:dyDescent="0.25">
      <c r="D158" s="39" t="str">
        <f>"NDELa"</f>
        <v>NDELa</v>
      </c>
      <c r="E158" s="34" t="s">
        <v>418</v>
      </c>
      <c r="K158" s="35"/>
      <c r="L158" s="34" t="s">
        <v>107</v>
      </c>
      <c r="M158" s="59"/>
      <c r="N158" s="60"/>
      <c r="O158" s="60"/>
      <c r="P158" s="60"/>
      <c r="Q158" s="60"/>
      <c r="R158" s="60"/>
      <c r="S158" s="61"/>
    </row>
    <row r="159" spans="3:19" outlineLevel="1" x14ac:dyDescent="0.25"/>
    <row r="160" spans="3:19" outlineLevel="1" x14ac:dyDescent="0.25">
      <c r="D160" s="39" t="s">
        <v>297</v>
      </c>
      <c r="E160" s="34" t="s">
        <v>498</v>
      </c>
      <c r="K160" s="35"/>
      <c r="L160" s="34" t="s">
        <v>303</v>
      </c>
      <c r="M160" s="59"/>
      <c r="N160" s="60"/>
      <c r="O160" s="60"/>
      <c r="P160" s="60"/>
      <c r="Q160" s="60"/>
      <c r="R160" s="60"/>
      <c r="S160" s="61"/>
    </row>
    <row r="161" spans="3:21" outlineLevel="1" x14ac:dyDescent="0.25"/>
    <row r="162" spans="3:21" outlineLevel="2" x14ac:dyDescent="0.25">
      <c r="D162" s="39" t="s">
        <v>494</v>
      </c>
      <c r="E162" s="34" t="s">
        <v>496</v>
      </c>
      <c r="K162" s="35"/>
      <c r="L162" s="34" t="s">
        <v>257</v>
      </c>
      <c r="M162" s="59"/>
      <c r="N162" s="60"/>
      <c r="O162" s="60"/>
      <c r="P162" s="60"/>
      <c r="Q162" s="60"/>
      <c r="R162" s="60"/>
      <c r="S162" s="61"/>
    </row>
    <row r="163" spans="3:21" outlineLevel="2" x14ac:dyDescent="0.25"/>
    <row r="164" spans="3:21" outlineLevel="2" x14ac:dyDescent="0.25">
      <c r="D164" s="39" t="s">
        <v>495</v>
      </c>
      <c r="E164" s="34" t="s">
        <v>497</v>
      </c>
      <c r="K164" s="35"/>
      <c r="L164" s="34" t="s">
        <v>257</v>
      </c>
      <c r="M164" s="59"/>
      <c r="N164" s="60"/>
      <c r="O164" s="60"/>
      <c r="P164" s="60"/>
      <c r="Q164" s="60"/>
      <c r="R164" s="60"/>
      <c r="S164" s="61"/>
    </row>
    <row r="165" spans="3:21" outlineLevel="2" x14ac:dyDescent="0.25"/>
    <row r="166" spans="3:21" outlineLevel="1" x14ac:dyDescent="0.25">
      <c r="D166" s="39" t="s">
        <v>298</v>
      </c>
      <c r="E166" s="34" t="s">
        <v>268</v>
      </c>
      <c r="K166" s="38"/>
      <c r="L166" s="34" t="s">
        <v>216</v>
      </c>
      <c r="M166" s="59"/>
      <c r="N166" s="60"/>
      <c r="O166" s="60"/>
      <c r="P166" s="60"/>
      <c r="Q166" s="60"/>
      <c r="R166" s="60"/>
      <c r="S166" s="61"/>
    </row>
    <row r="167" spans="3:21" outlineLevel="1" x14ac:dyDescent="0.25"/>
    <row r="168" spans="3:21" outlineLevel="1" x14ac:dyDescent="0.25">
      <c r="D168" s="39" t="str">
        <f>"EELa"</f>
        <v>EELa</v>
      </c>
      <c r="E168" s="34" t="s">
        <v>419</v>
      </c>
      <c r="K168" s="37"/>
      <c r="L168" s="34" t="s">
        <v>106</v>
      </c>
      <c r="M168" s="59"/>
      <c r="N168" s="60"/>
      <c r="O168" s="60"/>
      <c r="P168" s="60"/>
      <c r="Q168" s="60"/>
      <c r="R168" s="60"/>
      <c r="S168" s="61"/>
    </row>
    <row r="170" spans="3:21" x14ac:dyDescent="0.25">
      <c r="C170" s="18" t="s">
        <v>433</v>
      </c>
      <c r="U170" s="58"/>
    </row>
    <row r="171" spans="3:21" ht="15.6" customHeight="1" outlineLevel="1" x14ac:dyDescent="0.25">
      <c r="D171" s="39" t="str">
        <f>"IKo"</f>
        <v>IKo</v>
      </c>
      <c r="E171" s="34" t="s">
        <v>420</v>
      </c>
      <c r="K171" s="35"/>
      <c r="L171" s="34" t="s">
        <v>106</v>
      </c>
      <c r="M171" s="59"/>
      <c r="N171" s="60"/>
      <c r="O171" s="60"/>
      <c r="P171" s="60"/>
      <c r="Q171" s="60"/>
      <c r="R171" s="60"/>
      <c r="S171" s="61"/>
    </row>
    <row r="172" spans="3:21" ht="15.6" customHeight="1" outlineLevel="1" x14ac:dyDescent="0.25">
      <c r="D172"/>
      <c r="E172"/>
    </row>
    <row r="173" spans="3:21" ht="15.6" customHeight="1" outlineLevel="1" x14ac:dyDescent="0.25">
      <c r="D173" s="39" t="s">
        <v>347</v>
      </c>
      <c r="E173" s="34" t="s">
        <v>466</v>
      </c>
      <c r="K173" s="35"/>
      <c r="L173" s="34" t="s">
        <v>106</v>
      </c>
      <c r="M173" s="59"/>
      <c r="N173" s="60"/>
      <c r="O173" s="60"/>
      <c r="P173" s="60"/>
      <c r="Q173" s="60"/>
      <c r="R173" s="60"/>
      <c r="S173" s="61"/>
    </row>
    <row r="174" spans="3:21" ht="15.6" customHeight="1" outlineLevel="1" x14ac:dyDescent="0.25">
      <c r="D174"/>
      <c r="E174"/>
    </row>
    <row r="175" spans="3:21" ht="15.6" customHeight="1" outlineLevel="1" x14ac:dyDescent="0.25">
      <c r="D175" s="39" t="s">
        <v>461</v>
      </c>
      <c r="E175" s="34" t="s">
        <v>465</v>
      </c>
      <c r="K175" s="35"/>
      <c r="L175" s="34" t="s">
        <v>106</v>
      </c>
      <c r="M175" s="59"/>
      <c r="N175" s="60"/>
      <c r="O175" s="60"/>
      <c r="P175" s="60"/>
      <c r="Q175" s="60"/>
      <c r="R175" s="60"/>
      <c r="S175" s="61"/>
    </row>
    <row r="176" spans="3:21" ht="15.6" customHeight="1" outlineLevel="1" x14ac:dyDescent="0.25"/>
    <row r="177" spans="3:19" ht="15.6" customHeight="1" outlineLevel="1" x14ac:dyDescent="0.25">
      <c r="D177" s="39" t="s">
        <v>349</v>
      </c>
      <c r="E177" s="34" t="s">
        <v>421</v>
      </c>
      <c r="K177" s="35"/>
      <c r="L177" s="34" t="s">
        <v>106</v>
      </c>
      <c r="M177" s="59"/>
      <c r="N177" s="60"/>
      <c r="O177" s="60"/>
      <c r="P177" s="60"/>
      <c r="Q177" s="60"/>
      <c r="R177" s="60"/>
      <c r="S177" s="61"/>
    </row>
    <row r="178" spans="3:19" ht="15.6" customHeight="1" outlineLevel="1" x14ac:dyDescent="0.25">
      <c r="D178"/>
      <c r="E178"/>
    </row>
    <row r="179" spans="3:19" ht="15.6" customHeight="1" outlineLevel="1" x14ac:dyDescent="0.25">
      <c r="D179" s="39" t="s">
        <v>351</v>
      </c>
      <c r="E179" s="34" t="s">
        <v>352</v>
      </c>
      <c r="K179" s="37"/>
      <c r="L179" s="34" t="s">
        <v>107</v>
      </c>
      <c r="M179" s="59"/>
      <c r="N179" s="60"/>
      <c r="O179" s="60"/>
      <c r="P179" s="60"/>
      <c r="Q179" s="60"/>
      <c r="R179" s="60"/>
      <c r="S179" s="61"/>
    </row>
    <row r="180" spans="3:19" x14ac:dyDescent="0.25">
      <c r="D180"/>
      <c r="E180"/>
    </row>
    <row r="181" spans="3:19" x14ac:dyDescent="0.25">
      <c r="C181" s="18" t="s">
        <v>434</v>
      </c>
    </row>
    <row r="182" spans="3:19" outlineLevel="1" x14ac:dyDescent="0.25">
      <c r="D182" s="39" t="str">
        <f>"QStr"</f>
        <v>QStr</v>
      </c>
      <c r="E182" s="34" t="s">
        <v>379</v>
      </c>
      <c r="K182" s="38"/>
      <c r="L182" s="34" t="s">
        <v>182</v>
      </c>
      <c r="M182" s="59"/>
      <c r="N182" s="60"/>
      <c r="O182" s="60"/>
      <c r="P182" s="60"/>
      <c r="Q182" s="60"/>
      <c r="R182" s="60"/>
      <c r="S182" s="61"/>
    </row>
    <row r="183" spans="3:19" outlineLevel="1" x14ac:dyDescent="0.25"/>
    <row r="184" spans="3:19" outlineLevel="1" x14ac:dyDescent="0.25">
      <c r="D184" s="39" t="str">
        <f>"IStr"</f>
        <v>IStr</v>
      </c>
      <c r="E184" s="34" t="s">
        <v>380</v>
      </c>
      <c r="K184" s="35"/>
      <c r="L184" s="34" t="s">
        <v>106</v>
      </c>
      <c r="M184" s="59"/>
      <c r="N184" s="60"/>
      <c r="O184" s="60"/>
      <c r="P184" s="60"/>
      <c r="Q184" s="60"/>
      <c r="R184" s="60"/>
      <c r="S184" s="61"/>
    </row>
    <row r="185" spans="3:19" outlineLevel="1" x14ac:dyDescent="0.25">
      <c r="K185" s="36"/>
    </row>
    <row r="186" spans="3:19" outlineLevel="1" x14ac:dyDescent="0.25">
      <c r="D186" s="39" t="str">
        <f>"NDStr"</f>
        <v>NDStr</v>
      </c>
      <c r="E186" s="34" t="s">
        <v>381</v>
      </c>
      <c r="K186" s="35"/>
      <c r="L186" s="34" t="s">
        <v>107</v>
      </c>
      <c r="M186" s="59"/>
      <c r="N186" s="60"/>
      <c r="O186" s="60"/>
      <c r="P186" s="60"/>
      <c r="Q186" s="60"/>
      <c r="R186" s="60"/>
      <c r="S186" s="61"/>
    </row>
    <row r="187" spans="3:19" outlineLevel="1" x14ac:dyDescent="0.25"/>
    <row r="188" spans="3:19" outlineLevel="1" x14ac:dyDescent="0.25">
      <c r="D188" s="39" t="s">
        <v>179</v>
      </c>
      <c r="E188" s="34" t="s">
        <v>382</v>
      </c>
      <c r="K188" s="35"/>
      <c r="L188" s="34" t="s">
        <v>181</v>
      </c>
      <c r="M188" s="59"/>
      <c r="N188" s="60"/>
      <c r="O188" s="60"/>
      <c r="P188" s="60"/>
      <c r="Q188" s="60"/>
      <c r="R188" s="60"/>
      <c r="S188" s="61"/>
    </row>
    <row r="189" spans="3:19" outlineLevel="1" x14ac:dyDescent="0.25"/>
    <row r="190" spans="3:19" outlineLevel="1" x14ac:dyDescent="0.25">
      <c r="D190" s="39" t="s">
        <v>184</v>
      </c>
      <c r="E190" s="34" t="s">
        <v>383</v>
      </c>
      <c r="K190" s="35"/>
      <c r="L190" s="34" t="s">
        <v>181</v>
      </c>
      <c r="M190" s="59"/>
      <c r="N190" s="60"/>
      <c r="O190" s="60"/>
      <c r="P190" s="60"/>
      <c r="Q190" s="60"/>
      <c r="R190" s="60"/>
      <c r="S190" s="61"/>
    </row>
    <row r="192" spans="3:19" x14ac:dyDescent="0.25">
      <c r="C192" s="18" t="s">
        <v>436</v>
      </c>
    </row>
    <row r="193" spans="3:19" hidden="1" outlineLevel="2" x14ac:dyDescent="0.25">
      <c r="D193" s="39" t="str">
        <f>"GrSt"</f>
        <v>GrSt</v>
      </c>
      <c r="E193" s="34" t="s">
        <v>364</v>
      </c>
      <c r="K193" s="35"/>
      <c r="L193" s="34" t="s">
        <v>103</v>
      </c>
      <c r="M193" s="59"/>
      <c r="N193" s="60"/>
      <c r="O193" s="60"/>
      <c r="P193" s="60"/>
      <c r="Q193" s="60"/>
      <c r="R193" s="60"/>
      <c r="S193" s="61"/>
    </row>
    <row r="194" spans="3:19" hidden="1" outlineLevel="2" x14ac:dyDescent="0.25">
      <c r="K194" s="36"/>
      <c r="N194" s="34" t="s">
        <v>133</v>
      </c>
      <c r="O194" s="36" t="str">
        <f>IF(K193+K36+K206+K31=100,"OK","Prüfen!")</f>
        <v>Prüfen!</v>
      </c>
    </row>
    <row r="195" spans="3:19" hidden="1" outlineLevel="2" x14ac:dyDescent="0.25">
      <c r="D195" s="39" t="str">
        <f>"FSt"</f>
        <v>FSt</v>
      </c>
      <c r="E195" s="34" t="s">
        <v>365</v>
      </c>
      <c r="K195" s="35"/>
      <c r="L195" s="34" t="s">
        <v>118</v>
      </c>
      <c r="M195" s="59"/>
      <c r="N195" s="60"/>
      <c r="O195" s="60"/>
      <c r="P195" s="60"/>
      <c r="Q195" s="60"/>
      <c r="R195" s="60"/>
      <c r="S195" s="61"/>
    </row>
    <row r="196" spans="3:19" hidden="1" outlineLevel="2" x14ac:dyDescent="0.25">
      <c r="E196" s="34" t="s">
        <v>330</v>
      </c>
      <c r="K196" s="36"/>
      <c r="M196" s="64" t="str">
        <f>IF(ISNUMBER(K195)=ISNUMBER(K197),"Eingabe prüfen!","")</f>
        <v>Eingabe prüfen!</v>
      </c>
      <c r="N196" s="60"/>
    </row>
    <row r="197" spans="3:19" outlineLevel="1" collapsed="1" x14ac:dyDescent="0.25">
      <c r="D197" s="39" t="s">
        <v>334</v>
      </c>
      <c r="E197" s="34" t="s">
        <v>333</v>
      </c>
      <c r="K197" s="35"/>
      <c r="L197" s="34" t="s">
        <v>118</v>
      </c>
      <c r="M197" s="59"/>
      <c r="N197" s="60"/>
      <c r="O197" s="60"/>
      <c r="P197" s="60"/>
      <c r="Q197" s="60"/>
      <c r="R197" s="60"/>
      <c r="S197" s="61"/>
    </row>
    <row r="198" spans="3:19" outlineLevel="1" x14ac:dyDescent="0.25">
      <c r="K198" s="36"/>
    </row>
    <row r="199" spans="3:19" outlineLevel="1" x14ac:dyDescent="0.25">
      <c r="D199" s="39" t="str">
        <f>"lKoGr"</f>
        <v>lKoGr</v>
      </c>
      <c r="E199" s="34" t="s">
        <v>121</v>
      </c>
      <c r="K199" s="35"/>
      <c r="L199" s="34" t="s">
        <v>106</v>
      </c>
      <c r="M199" s="59"/>
      <c r="N199" s="60"/>
      <c r="O199" s="60"/>
      <c r="P199" s="60"/>
      <c r="Q199" s="60"/>
      <c r="R199" s="60"/>
      <c r="S199" s="61"/>
    </row>
    <row r="200" spans="3:19" outlineLevel="1" x14ac:dyDescent="0.25">
      <c r="K200" s="36"/>
    </row>
    <row r="201" spans="3:19" outlineLevel="1" x14ac:dyDescent="0.25">
      <c r="D201" s="39" t="str">
        <f>"IGr"</f>
        <v>IGr</v>
      </c>
      <c r="E201" s="34" t="s">
        <v>366</v>
      </c>
      <c r="K201" s="35"/>
      <c r="L201" s="34" t="s">
        <v>106</v>
      </c>
      <c r="M201" s="59"/>
      <c r="N201" s="60"/>
      <c r="O201" s="60"/>
      <c r="P201" s="60"/>
      <c r="Q201" s="60"/>
      <c r="R201" s="60"/>
      <c r="S201" s="61"/>
    </row>
    <row r="202" spans="3:19" outlineLevel="1" x14ac:dyDescent="0.25">
      <c r="K202" s="36"/>
    </row>
    <row r="203" spans="3:19" outlineLevel="1" x14ac:dyDescent="0.25">
      <c r="D203" s="39" t="str">
        <f>"NDGr"</f>
        <v>NDGr</v>
      </c>
      <c r="E203" s="34" t="s">
        <v>367</v>
      </c>
      <c r="K203" s="35"/>
      <c r="L203" s="34" t="s">
        <v>107</v>
      </c>
      <c r="M203" s="59"/>
      <c r="N203" s="60"/>
      <c r="O203" s="60"/>
      <c r="P203" s="60"/>
      <c r="Q203" s="60"/>
      <c r="R203" s="60"/>
      <c r="S203" s="61"/>
    </row>
    <row r="205" spans="3:19" x14ac:dyDescent="0.25">
      <c r="C205" s="18" t="s">
        <v>437</v>
      </c>
    </row>
    <row r="206" spans="3:19" hidden="1" outlineLevel="2" x14ac:dyDescent="0.25">
      <c r="D206" s="39" t="str">
        <f>"WESt"</f>
        <v>WESt</v>
      </c>
      <c r="E206" s="34" t="s">
        <v>368</v>
      </c>
      <c r="K206" s="35"/>
      <c r="L206" s="34" t="s">
        <v>103</v>
      </c>
      <c r="M206" s="59"/>
      <c r="N206" s="60"/>
      <c r="O206" s="60"/>
      <c r="P206" s="60"/>
      <c r="Q206" s="60"/>
      <c r="R206" s="60"/>
      <c r="S206" s="61"/>
    </row>
    <row r="207" spans="3:19" hidden="1" outlineLevel="2" x14ac:dyDescent="0.25">
      <c r="K207" s="36"/>
      <c r="N207" s="34" t="s">
        <v>133</v>
      </c>
      <c r="O207" s="36" t="str">
        <f>IF(K193+K206+K36+K31=100,"OK","Prüfen!")</f>
        <v>Prüfen!</v>
      </c>
    </row>
    <row r="208" spans="3:19" hidden="1" outlineLevel="2" x14ac:dyDescent="0.25">
      <c r="D208" s="39" t="s">
        <v>132</v>
      </c>
      <c r="E208" s="34" t="s">
        <v>369</v>
      </c>
      <c r="K208" s="38"/>
      <c r="L208" s="34" t="s">
        <v>164</v>
      </c>
      <c r="M208" s="59"/>
      <c r="N208" s="60"/>
      <c r="O208" s="60"/>
      <c r="P208" s="60"/>
      <c r="Q208" s="60"/>
      <c r="R208" s="60"/>
      <c r="S208" s="61"/>
    </row>
    <row r="209" spans="3:19" hidden="1" outlineLevel="2" x14ac:dyDescent="0.25">
      <c r="E209" s="34" t="s">
        <v>330</v>
      </c>
      <c r="M209" s="64" t="str">
        <f>IF(ISNUMBER(K208)=ISNUMBER(K210),"Eingabe prüfen!","")</f>
        <v>Eingabe prüfen!</v>
      </c>
      <c r="N209" s="60"/>
    </row>
    <row r="210" spans="3:19" outlineLevel="1" collapsed="1" x14ac:dyDescent="0.25">
      <c r="D210" s="39" t="s">
        <v>129</v>
      </c>
      <c r="E210" s="34" t="s">
        <v>335</v>
      </c>
      <c r="K210" s="35"/>
      <c r="L210" s="34" t="s">
        <v>102</v>
      </c>
      <c r="M210" s="59"/>
      <c r="N210" s="60"/>
      <c r="O210" s="60"/>
      <c r="P210" s="60"/>
      <c r="Q210" s="60"/>
      <c r="R210" s="60"/>
      <c r="S210" s="61"/>
    </row>
    <row r="211" spans="3:19" outlineLevel="1" x14ac:dyDescent="0.25"/>
    <row r="212" spans="3:19" outlineLevel="1" x14ac:dyDescent="0.25">
      <c r="D212" s="39" t="str">
        <f>"IWEn"</f>
        <v>IWEn</v>
      </c>
      <c r="E212" s="34" t="s">
        <v>370</v>
      </c>
      <c r="K212" s="35"/>
      <c r="L212" s="34" t="s">
        <v>106</v>
      </c>
      <c r="M212" s="59"/>
      <c r="N212" s="60"/>
      <c r="O212" s="60"/>
      <c r="P212" s="60"/>
      <c r="Q212" s="60"/>
      <c r="R212" s="60"/>
      <c r="S212" s="61"/>
    </row>
    <row r="213" spans="3:19" outlineLevel="1" x14ac:dyDescent="0.25">
      <c r="K213" s="36"/>
    </row>
    <row r="214" spans="3:19" outlineLevel="1" x14ac:dyDescent="0.25">
      <c r="D214" s="39" t="s">
        <v>135</v>
      </c>
      <c r="E214" s="34" t="s">
        <v>371</v>
      </c>
      <c r="K214" s="35"/>
      <c r="L214" s="34" t="s">
        <v>106</v>
      </c>
      <c r="M214" s="59"/>
      <c r="N214" s="60"/>
      <c r="O214" s="60"/>
      <c r="P214" s="60"/>
      <c r="Q214" s="60"/>
      <c r="R214" s="60"/>
      <c r="S214" s="61"/>
    </row>
    <row r="215" spans="3:19" outlineLevel="1" x14ac:dyDescent="0.25"/>
    <row r="216" spans="3:19" outlineLevel="1" x14ac:dyDescent="0.25">
      <c r="D216" s="39" t="str">
        <f>"NDWE"</f>
        <v>NDWE</v>
      </c>
      <c r="E216" s="34" t="s">
        <v>372</v>
      </c>
      <c r="K216" s="35"/>
      <c r="L216" s="34" t="s">
        <v>107</v>
      </c>
      <c r="M216" s="59"/>
      <c r="N216" s="60"/>
      <c r="O216" s="60"/>
      <c r="P216" s="60"/>
      <c r="Q216" s="60"/>
      <c r="R216" s="60"/>
      <c r="S216" s="61"/>
    </row>
    <row r="217" spans="3:19" outlineLevel="1" x14ac:dyDescent="0.25"/>
    <row r="218" spans="3:19" outlineLevel="1" x14ac:dyDescent="0.25">
      <c r="D218" s="39" t="s">
        <v>146</v>
      </c>
      <c r="E218" s="34" t="s">
        <v>373</v>
      </c>
      <c r="K218" s="35"/>
      <c r="L218" s="34" t="s">
        <v>147</v>
      </c>
      <c r="M218" s="59"/>
      <c r="N218" s="60"/>
      <c r="O218" s="60"/>
      <c r="P218" s="60"/>
      <c r="Q218" s="60"/>
      <c r="R218" s="60"/>
      <c r="S218" s="61"/>
    </row>
    <row r="220" spans="3:19" x14ac:dyDescent="0.25">
      <c r="C220" s="18" t="s">
        <v>438</v>
      </c>
    </row>
    <row r="221" spans="3:19" outlineLevel="1" x14ac:dyDescent="0.25">
      <c r="D221" s="39" t="s">
        <v>192</v>
      </c>
      <c r="E221" s="34" t="s">
        <v>384</v>
      </c>
      <c r="K221" s="35"/>
      <c r="L221" s="34" t="s">
        <v>102</v>
      </c>
      <c r="M221" s="59"/>
      <c r="N221" s="60"/>
      <c r="O221" s="60"/>
      <c r="P221" s="60"/>
      <c r="Q221" s="60"/>
      <c r="R221" s="60"/>
      <c r="S221" s="61"/>
    </row>
    <row r="222" spans="3:19" outlineLevel="1" x14ac:dyDescent="0.25"/>
    <row r="223" spans="3:19" outlineLevel="1" x14ac:dyDescent="0.25">
      <c r="D223" s="39" t="str">
        <f>"IPkw"</f>
        <v>IPkw</v>
      </c>
      <c r="E223" s="34" t="s">
        <v>385</v>
      </c>
      <c r="K223" s="35"/>
      <c r="L223" s="34" t="s">
        <v>106</v>
      </c>
      <c r="M223" s="59"/>
      <c r="N223" s="60"/>
      <c r="O223" s="60"/>
      <c r="P223" s="60"/>
      <c r="Q223" s="60"/>
      <c r="R223" s="60"/>
      <c r="S223" s="61"/>
    </row>
    <row r="224" spans="3:19" outlineLevel="1" x14ac:dyDescent="0.25">
      <c r="K224" s="36"/>
    </row>
    <row r="225" spans="3:19" outlineLevel="1" x14ac:dyDescent="0.25">
      <c r="D225" s="39" t="str">
        <f>"NDPkw"</f>
        <v>NDPkw</v>
      </c>
      <c r="E225" s="34" t="s">
        <v>386</v>
      </c>
      <c r="K225" s="35"/>
      <c r="L225" s="34" t="s">
        <v>107</v>
      </c>
      <c r="M225" s="59"/>
      <c r="N225" s="60"/>
      <c r="O225" s="60"/>
      <c r="P225" s="60"/>
      <c r="Q225" s="60"/>
      <c r="R225" s="60"/>
      <c r="S225" s="61"/>
    </row>
    <row r="226" spans="3:19" outlineLevel="1" x14ac:dyDescent="0.25"/>
    <row r="227" spans="3:19" outlineLevel="1" x14ac:dyDescent="0.25">
      <c r="D227" s="39" t="s">
        <v>193</v>
      </c>
      <c r="E227" s="34" t="s">
        <v>387</v>
      </c>
      <c r="K227" s="35"/>
      <c r="L227" s="34" t="s">
        <v>107</v>
      </c>
      <c r="M227" s="59"/>
      <c r="N227" s="60"/>
      <c r="O227" s="60"/>
      <c r="P227" s="60"/>
      <c r="Q227" s="60"/>
      <c r="R227" s="60"/>
      <c r="S227" s="61"/>
    </row>
    <row r="228" spans="3:19" outlineLevel="1" x14ac:dyDescent="0.25"/>
    <row r="229" spans="3:19" outlineLevel="1" x14ac:dyDescent="0.25">
      <c r="D229" s="39" t="s">
        <v>196</v>
      </c>
      <c r="E229" s="34" t="s">
        <v>388</v>
      </c>
      <c r="K229" s="35"/>
      <c r="L229" s="34" t="s">
        <v>198</v>
      </c>
      <c r="M229" s="59"/>
      <c r="N229" s="60"/>
      <c r="O229" s="60"/>
      <c r="P229" s="60"/>
      <c r="Q229" s="60"/>
      <c r="R229" s="60"/>
      <c r="S229" s="61"/>
    </row>
    <row r="230" spans="3:19" outlineLevel="1" x14ac:dyDescent="0.25"/>
    <row r="231" spans="3:19" outlineLevel="1" x14ac:dyDescent="0.25">
      <c r="D231" s="39" t="s">
        <v>199</v>
      </c>
      <c r="E231" s="34" t="s">
        <v>389</v>
      </c>
      <c r="K231" s="35"/>
      <c r="L231" s="34" t="s">
        <v>201</v>
      </c>
      <c r="M231" s="59"/>
      <c r="N231" s="60"/>
      <c r="O231" s="60"/>
      <c r="P231" s="60"/>
      <c r="Q231" s="60"/>
      <c r="R231" s="60"/>
      <c r="S231" s="61"/>
    </row>
    <row r="233" spans="3:19" x14ac:dyDescent="0.25">
      <c r="C233" s="18" t="s">
        <v>439</v>
      </c>
    </row>
    <row r="234" spans="3:19" outlineLevel="1" x14ac:dyDescent="0.25">
      <c r="D234" s="39" t="str">
        <f>"KMo"</f>
        <v>KMo</v>
      </c>
      <c r="E234" s="34" t="s">
        <v>456</v>
      </c>
      <c r="K234" s="35"/>
      <c r="L234" s="34" t="s">
        <v>106</v>
      </c>
      <c r="M234" s="59"/>
      <c r="N234" s="60"/>
      <c r="O234" s="60"/>
      <c r="P234" s="60"/>
      <c r="Q234" s="60"/>
      <c r="R234" s="60"/>
      <c r="S234" s="61"/>
    </row>
    <row r="236" spans="3:19" outlineLevel="1" x14ac:dyDescent="0.25">
      <c r="D236" s="39" t="str">
        <f>"KMn"</f>
        <v>KMn</v>
      </c>
      <c r="E236" s="34" t="s">
        <v>531</v>
      </c>
      <c r="K236" s="37"/>
      <c r="L236" s="34" t="s">
        <v>106</v>
      </c>
      <c r="M236" s="59"/>
      <c r="N236" s="60"/>
      <c r="O236" s="60"/>
      <c r="P236" s="60"/>
      <c r="Q236" s="60"/>
      <c r="R236" s="60"/>
      <c r="S236" s="61"/>
    </row>
    <row r="238" spans="3:19" outlineLevel="1" x14ac:dyDescent="0.25">
      <c r="E238" s="34" t="s">
        <v>532</v>
      </c>
    </row>
    <row r="239" spans="3:19" outlineLevel="1" x14ac:dyDescent="0.25">
      <c r="D239" s="39" t="str">
        <f>"KMRa"</f>
        <v>KMRa</v>
      </c>
      <c r="E239" s="34" t="s">
        <v>440</v>
      </c>
      <c r="K239" s="37"/>
      <c r="L239" s="34" t="s">
        <v>106</v>
      </c>
      <c r="M239" s="59"/>
      <c r="N239" s="60"/>
      <c r="O239" s="60"/>
      <c r="P239" s="60"/>
      <c r="Q239" s="60"/>
      <c r="R239" s="60"/>
      <c r="S239" s="61"/>
    </row>
    <row r="240" spans="3:19" outlineLevel="1" x14ac:dyDescent="0.25"/>
    <row r="241" spans="4:19" outlineLevel="1" x14ac:dyDescent="0.25">
      <c r="D241" s="39" t="str">
        <f>"KMÖV"</f>
        <v>KMÖV</v>
      </c>
      <c r="E241" s="34" t="s">
        <v>441</v>
      </c>
      <c r="K241" s="37"/>
      <c r="L241" s="34" t="s">
        <v>106</v>
      </c>
      <c r="M241" s="59"/>
      <c r="N241" s="60"/>
      <c r="O241" s="60"/>
      <c r="P241" s="60"/>
      <c r="Q241" s="60"/>
      <c r="R241" s="60"/>
      <c r="S241" s="61"/>
    </row>
    <row r="242" spans="4:19" outlineLevel="1" x14ac:dyDescent="0.25"/>
    <row r="243" spans="4:19" outlineLevel="1" x14ac:dyDescent="0.25">
      <c r="D243" s="39" t="str">
        <f>"KMTi"</f>
        <v>KMTi</v>
      </c>
      <c r="E243" s="34" t="s">
        <v>442</v>
      </c>
      <c r="K243" s="37"/>
      <c r="L243" s="34" t="s">
        <v>106</v>
      </c>
      <c r="M243" s="59"/>
      <c r="N243" s="60"/>
      <c r="O243" s="60"/>
      <c r="P243" s="60"/>
      <c r="Q243" s="60"/>
      <c r="R243" s="60"/>
      <c r="S243" s="61"/>
    </row>
    <row r="244" spans="4:19" outlineLevel="1" x14ac:dyDescent="0.25"/>
    <row r="245" spans="4:19" outlineLevel="1" x14ac:dyDescent="0.25">
      <c r="D245" s="39" t="str">
        <f>"KMCar"</f>
        <v>KMCar</v>
      </c>
      <c r="E245" s="34" t="s">
        <v>446</v>
      </c>
      <c r="K245" s="37"/>
      <c r="L245" s="34" t="s">
        <v>106</v>
      </c>
      <c r="M245" s="59"/>
      <c r="N245" s="60"/>
      <c r="O245" s="60"/>
      <c r="P245" s="60"/>
      <c r="Q245" s="60"/>
      <c r="R245" s="60"/>
      <c r="S245" s="61"/>
    </row>
    <row r="246" spans="4:19" outlineLevel="1" x14ac:dyDescent="0.25"/>
    <row r="247" spans="4:19" outlineLevel="1" x14ac:dyDescent="0.25">
      <c r="D247" s="39" t="str">
        <f>"KMBik"</f>
        <v>KMBik</v>
      </c>
      <c r="E247" s="34" t="s">
        <v>445</v>
      </c>
      <c r="K247" s="37"/>
      <c r="L247" s="34" t="s">
        <v>106</v>
      </c>
      <c r="M247" s="59"/>
      <c r="N247" s="60"/>
      <c r="O247" s="60"/>
      <c r="P247" s="60"/>
      <c r="Q247" s="60"/>
      <c r="R247" s="60"/>
      <c r="S247" s="61"/>
    </row>
    <row r="248" spans="4:19" outlineLevel="1" x14ac:dyDescent="0.25"/>
    <row r="249" spans="4:19" outlineLevel="1" x14ac:dyDescent="0.25">
      <c r="D249" s="39" t="str">
        <f>"KMCgo"</f>
        <v>KMCgo</v>
      </c>
      <c r="E249" s="34" t="s">
        <v>443</v>
      </c>
      <c r="K249" s="37"/>
      <c r="L249" s="34" t="s">
        <v>106</v>
      </c>
      <c r="M249" s="59"/>
      <c r="N249" s="60"/>
      <c r="O249" s="60"/>
      <c r="P249" s="60"/>
      <c r="Q249" s="60"/>
      <c r="R249" s="60"/>
      <c r="S249" s="61"/>
    </row>
    <row r="250" spans="4:19" outlineLevel="1" x14ac:dyDescent="0.25"/>
    <row r="251" spans="4:19" outlineLevel="1" x14ac:dyDescent="0.25">
      <c r="D251" s="39" t="str">
        <f>"KMELa"</f>
        <v>KMELa</v>
      </c>
      <c r="E251" s="34" t="s">
        <v>444</v>
      </c>
      <c r="K251" s="37"/>
      <c r="L251" s="34" t="s">
        <v>106</v>
      </c>
      <c r="M251" s="59"/>
      <c r="N251" s="60"/>
      <c r="O251" s="60"/>
      <c r="P251" s="60"/>
      <c r="Q251" s="60"/>
      <c r="R251" s="60"/>
      <c r="S251" s="61"/>
    </row>
    <row r="252" spans="4:19" outlineLevel="1" x14ac:dyDescent="0.25"/>
    <row r="253" spans="4:19" outlineLevel="1" x14ac:dyDescent="0.25">
      <c r="D253" s="39" t="str">
        <f>"KMStr"</f>
        <v>KMStr</v>
      </c>
      <c r="E253" s="34" t="s">
        <v>447</v>
      </c>
      <c r="K253" s="37"/>
      <c r="L253" s="34" t="s">
        <v>106</v>
      </c>
      <c r="M253" s="59"/>
      <c r="N253" s="60"/>
      <c r="O253" s="60"/>
      <c r="P253" s="60"/>
      <c r="Q253" s="60"/>
      <c r="R253" s="60"/>
      <c r="S253" s="61"/>
    </row>
    <row r="254" spans="4:19" outlineLevel="1" x14ac:dyDescent="0.25"/>
    <row r="255" spans="4:19" outlineLevel="1" x14ac:dyDescent="0.25">
      <c r="D255" s="39" t="str">
        <f>"KMGr"</f>
        <v>KMGr</v>
      </c>
      <c r="E255" s="34" t="s">
        <v>448</v>
      </c>
      <c r="K255" s="37"/>
      <c r="L255" s="34" t="s">
        <v>106</v>
      </c>
      <c r="M255" s="59"/>
      <c r="N255" s="60"/>
      <c r="O255" s="60"/>
      <c r="P255" s="60"/>
      <c r="Q255" s="60"/>
      <c r="R255" s="60"/>
      <c r="S255" s="61"/>
    </row>
  </sheetData>
  <sheetProtection insertRows="0" sort="0"/>
  <protectedRanges>
    <protectedRange sqref="M11:S11 M13:S13 M15:S15 M17:S17 M20:S20 M23:S23 M25:S25 M27:S27 M29:S29 M31:S31 M33:S33 M36:S36 M38:S38 M40:S40 M42:S42 M44:S44 M46:S46 M49:S49 M51:S51 M53:S53 M55:S55" name="Bereich2"/>
    <protectedRange sqref="K3 K11 K13 K15 K17 K20 K23 K25 K27 K29 K31 K33 K36 K38 K40 K42 K44 K46 K49 K51 K53 K55 K57 K59 K61 K63 K66 K68 K70 K72 K74 K76 K79 K81 K83 K85 K87 K89 K91 K93 K95 K97" name="Bereich1"/>
  </protectedRanges>
  <mergeCells count="125">
    <mergeCell ref="M249:S249"/>
    <mergeCell ref="M251:S251"/>
    <mergeCell ref="M253:S253"/>
    <mergeCell ref="M255:S255"/>
    <mergeCell ref="M239:S239"/>
    <mergeCell ref="M241:S241"/>
    <mergeCell ref="M243:S243"/>
    <mergeCell ref="M245:S245"/>
    <mergeCell ref="M247:S247"/>
    <mergeCell ref="M227:S227"/>
    <mergeCell ref="M229:S229"/>
    <mergeCell ref="M231:S231"/>
    <mergeCell ref="M234:S234"/>
    <mergeCell ref="M236:S236"/>
    <mergeCell ref="M216:S216"/>
    <mergeCell ref="M218:S218"/>
    <mergeCell ref="M221:S221"/>
    <mergeCell ref="M223:S223"/>
    <mergeCell ref="M225:S225"/>
    <mergeCell ref="M206:S206"/>
    <mergeCell ref="M208:S208"/>
    <mergeCell ref="M210:S210"/>
    <mergeCell ref="M212:S212"/>
    <mergeCell ref="M214:S214"/>
    <mergeCell ref="M195:S195"/>
    <mergeCell ref="M197:S197"/>
    <mergeCell ref="M199:S199"/>
    <mergeCell ref="M201:S201"/>
    <mergeCell ref="M203:S203"/>
    <mergeCell ref="M209:N209"/>
    <mergeCell ref="M184:S184"/>
    <mergeCell ref="M186:S186"/>
    <mergeCell ref="M188:S188"/>
    <mergeCell ref="M190:S190"/>
    <mergeCell ref="M193:S193"/>
    <mergeCell ref="M173:S173"/>
    <mergeCell ref="M175:S175"/>
    <mergeCell ref="M177:S177"/>
    <mergeCell ref="M179:S179"/>
    <mergeCell ref="M182:S182"/>
    <mergeCell ref="M162:S162"/>
    <mergeCell ref="M164:S164"/>
    <mergeCell ref="M166:S166"/>
    <mergeCell ref="M168:S168"/>
    <mergeCell ref="M171:S171"/>
    <mergeCell ref="M152:S152"/>
    <mergeCell ref="M154:S154"/>
    <mergeCell ref="M156:S156"/>
    <mergeCell ref="M158:S158"/>
    <mergeCell ref="M160:S160"/>
    <mergeCell ref="M141:S141"/>
    <mergeCell ref="M143:S143"/>
    <mergeCell ref="M145:S145"/>
    <mergeCell ref="M148:S148"/>
    <mergeCell ref="M150:S150"/>
    <mergeCell ref="M131:S131"/>
    <mergeCell ref="M133:S133"/>
    <mergeCell ref="M135:S135"/>
    <mergeCell ref="M137:S137"/>
    <mergeCell ref="M139:S139"/>
    <mergeCell ref="M97:S97"/>
    <mergeCell ref="M99:S99"/>
    <mergeCell ref="M102:S102"/>
    <mergeCell ref="M104:S104"/>
    <mergeCell ref="M106:S106"/>
    <mergeCell ref="M87:S87"/>
    <mergeCell ref="M89:S89"/>
    <mergeCell ref="M91:S91"/>
    <mergeCell ref="M93:S93"/>
    <mergeCell ref="M95:S95"/>
    <mergeCell ref="M76:S76"/>
    <mergeCell ref="M79:S79"/>
    <mergeCell ref="M81:S81"/>
    <mergeCell ref="M83:S83"/>
    <mergeCell ref="M85:S85"/>
    <mergeCell ref="M66:S66"/>
    <mergeCell ref="M68:S68"/>
    <mergeCell ref="M70:S70"/>
    <mergeCell ref="M72:S72"/>
    <mergeCell ref="M74:S74"/>
    <mergeCell ref="M55:S55"/>
    <mergeCell ref="M57:S57"/>
    <mergeCell ref="M59:S59"/>
    <mergeCell ref="M61:S61"/>
    <mergeCell ref="M63:S63"/>
    <mergeCell ref="M44:S44"/>
    <mergeCell ref="M46:S46"/>
    <mergeCell ref="M49:S49"/>
    <mergeCell ref="M51:S51"/>
    <mergeCell ref="M53:S53"/>
    <mergeCell ref="K5:S6"/>
    <mergeCell ref="M11:S11"/>
    <mergeCell ref="M13:S13"/>
    <mergeCell ref="M15:S15"/>
    <mergeCell ref="M17:S17"/>
    <mergeCell ref="M103:N103"/>
    <mergeCell ref="M126:N126"/>
    <mergeCell ref="M149:N149"/>
    <mergeCell ref="M196:N196"/>
    <mergeCell ref="M108:S108"/>
    <mergeCell ref="M110:S110"/>
    <mergeCell ref="M112:S112"/>
    <mergeCell ref="M114:S114"/>
    <mergeCell ref="M116:S116"/>
    <mergeCell ref="M118:S118"/>
    <mergeCell ref="M120:S120"/>
    <mergeCell ref="M122:S122"/>
    <mergeCell ref="M125:S125"/>
    <mergeCell ref="M127:S127"/>
    <mergeCell ref="M129:S129"/>
    <mergeCell ref="M8:S8"/>
    <mergeCell ref="M39:N39"/>
    <mergeCell ref="M67:N67"/>
    <mergeCell ref="M80:N80"/>
    <mergeCell ref="M40:S40"/>
    <mergeCell ref="M42:S42"/>
    <mergeCell ref="M20:S20"/>
    <mergeCell ref="M23:S23"/>
    <mergeCell ref="M25:S25"/>
    <mergeCell ref="M27:S27"/>
    <mergeCell ref="M29:S29"/>
    <mergeCell ref="M31:S31"/>
    <mergeCell ref="M33:S33"/>
    <mergeCell ref="M36:S36"/>
    <mergeCell ref="M38:S38"/>
  </mergeCells>
  <pageMargins left="0.70866141732283472" right="0.70866141732283472" top="0.78740157480314965" bottom="0.78740157480314965" header="0.31496062992125984" footer="0.31496062992125984"/>
  <pageSetup paperSize="9" scale="41" fitToHeight="0" orientation="portrait" r:id="rId1"/>
  <headerFooter>
    <oddHeader>&amp;L&amp;"Arial Narrow,Standard"&amp;10Projekt: Wohnen und Mobilität – Mobilitätskonzepte im Quartier
Im Auftrag des Bayerisches Staatsministerium für Wohnen Bau und Verkehr
Referat 36 – Städtebauförderung
&amp;R&amp;"Arial Narrow,Standard"&amp;10Kosten-Nutzen-Analyse</oddHeader>
    <oddFooter>&amp;L&amp;"Arial Narrow,Standard"&amp;10Deutsches Institut für Urbanistik
2021&amp;R&amp;"Arial Narrow,Standard"&amp;10&amp;F, &amp;A
Seite &amp;P von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3:Q43"/>
  <sheetViews>
    <sheetView showGridLines="0" topLeftCell="E19" zoomScale="80" zoomScaleNormal="80" zoomScaleSheetLayoutView="70" zoomScalePageLayoutView="50" workbookViewId="0">
      <selection activeCell="J28" sqref="J28"/>
    </sheetView>
  </sheetViews>
  <sheetFormatPr baseColWidth="10" defaultRowHeight="15" x14ac:dyDescent="0.25"/>
  <cols>
    <col min="4" max="5" width="31.42578125" customWidth="1"/>
    <col min="6" max="15" width="21.28515625" customWidth="1"/>
  </cols>
  <sheetData>
    <row r="3" spans="4:17" ht="15.75" x14ac:dyDescent="0.25">
      <c r="D3" s="18" t="s">
        <v>358</v>
      </c>
      <c r="F3" t="str">
        <f>+Eingaben!K3</f>
        <v>Beispiel</v>
      </c>
    </row>
    <row r="5" spans="4:17" ht="15.75" x14ac:dyDescent="0.25">
      <c r="F5" s="16" t="s">
        <v>80</v>
      </c>
    </row>
    <row r="6" spans="4:17" ht="15.75" x14ac:dyDescent="0.25">
      <c r="F6" s="16" t="s">
        <v>95</v>
      </c>
      <c r="M6" s="57"/>
    </row>
    <row r="7" spans="4:17" ht="15.75" x14ac:dyDescent="0.25">
      <c r="F7" s="16"/>
    </row>
    <row r="8" spans="4:17" ht="15.75" thickBot="1" x14ac:dyDescent="0.3"/>
    <row r="9" spans="4:17" ht="68.25" customHeight="1" thickBot="1" x14ac:dyDescent="0.3">
      <c r="D9" s="1" t="s">
        <v>0</v>
      </c>
      <c r="E9" s="1" t="s">
        <v>1</v>
      </c>
      <c r="F9" s="65" t="s">
        <v>12</v>
      </c>
      <c r="G9" s="66"/>
      <c r="H9" s="65" t="s">
        <v>2</v>
      </c>
      <c r="I9" s="66"/>
      <c r="J9" s="65" t="s">
        <v>13</v>
      </c>
      <c r="K9" s="66"/>
      <c r="L9" s="65" t="s">
        <v>3</v>
      </c>
      <c r="M9" s="66"/>
      <c r="N9" s="67" t="s">
        <v>92</v>
      </c>
      <c r="O9" s="66"/>
      <c r="Q9" t="s">
        <v>320</v>
      </c>
    </row>
    <row r="10" spans="4:17" ht="16.5" thickTop="1" x14ac:dyDescent="0.25">
      <c r="D10" s="7"/>
      <c r="E10" s="7"/>
      <c r="F10" s="8" t="s">
        <v>27</v>
      </c>
      <c r="G10" s="8" t="s">
        <v>28</v>
      </c>
      <c r="H10" s="8" t="s">
        <v>27</v>
      </c>
      <c r="I10" s="8" t="s">
        <v>28</v>
      </c>
      <c r="J10" s="8" t="s">
        <v>27</v>
      </c>
      <c r="K10" s="8" t="s">
        <v>28</v>
      </c>
      <c r="L10" s="8" t="s">
        <v>27</v>
      </c>
      <c r="M10" s="8" t="s">
        <v>28</v>
      </c>
      <c r="N10" s="8" t="s">
        <v>27</v>
      </c>
      <c r="O10" s="8" t="s">
        <v>28</v>
      </c>
    </row>
    <row r="11" spans="4:17" ht="16.5" thickBot="1" x14ac:dyDescent="0.3">
      <c r="D11" s="45"/>
      <c r="E11" s="46"/>
      <c r="F11" s="47"/>
      <c r="G11" s="47"/>
      <c r="H11" s="48"/>
      <c r="I11" s="48"/>
      <c r="J11" s="48"/>
      <c r="K11" s="48"/>
      <c r="L11" s="47"/>
      <c r="M11" s="48"/>
      <c r="N11" s="48"/>
      <c r="O11" s="48"/>
    </row>
    <row r="12" spans="4:17" ht="17.25" thickTop="1" thickBot="1" x14ac:dyDescent="0.3">
      <c r="D12" s="28" t="s">
        <v>316</v>
      </c>
      <c r="E12" s="3"/>
      <c r="F12" s="24">
        <f>'K-N-Werte'!F37</f>
        <v>0</v>
      </c>
      <c r="G12" s="24">
        <f>'K-N-Werte'!G37</f>
        <v>0</v>
      </c>
      <c r="H12" s="24">
        <f>'K-N-Werte'!H37</f>
        <v>0</v>
      </c>
      <c r="I12" s="24">
        <f>'K-N-Werte'!I37</f>
        <v>0</v>
      </c>
      <c r="J12" s="24">
        <f>'K-N-Werte'!J37</f>
        <v>0</v>
      </c>
      <c r="K12" s="24">
        <f>'K-N-Werte'!K37</f>
        <v>0</v>
      </c>
      <c r="L12" s="24">
        <f>'K-N-Werte'!L37</f>
        <v>0</v>
      </c>
      <c r="M12" s="24">
        <f>'K-N-Werte'!M37</f>
        <v>0</v>
      </c>
      <c r="N12" s="24">
        <f>'K-N-Werte'!N37</f>
        <v>0</v>
      </c>
      <c r="O12" s="24">
        <f>'K-N-Werte'!O37</f>
        <v>0</v>
      </c>
    </row>
    <row r="13" spans="4:17" ht="16.5" thickBot="1" x14ac:dyDescent="0.3">
      <c r="D13" s="22" t="s">
        <v>317</v>
      </c>
      <c r="E13" s="5"/>
      <c r="F13" s="25" t="str">
        <f>'K-N-Werte'!F38</f>
        <v>-</v>
      </c>
      <c r="G13" s="25" t="str">
        <f>'K-N-Werte'!G38</f>
        <v>-</v>
      </c>
      <c r="H13" s="25" t="str">
        <f>'K-N-Werte'!H38</f>
        <v>-</v>
      </c>
      <c r="I13" s="25" t="str">
        <f>'K-N-Werte'!I38</f>
        <v>-</v>
      </c>
      <c r="J13" s="25" t="str">
        <f>'K-N-Werte'!J38</f>
        <v>-</v>
      </c>
      <c r="K13" s="25" t="str">
        <f>'K-N-Werte'!K38</f>
        <v>-</v>
      </c>
      <c r="L13" s="25" t="str">
        <f>'K-N-Werte'!L38</f>
        <v>-</v>
      </c>
      <c r="M13" s="25" t="str">
        <f>'K-N-Werte'!M38</f>
        <v>-</v>
      </c>
      <c r="N13" s="25" t="str">
        <f>'K-N-Werte'!N38</f>
        <v>-</v>
      </c>
      <c r="O13" s="25" t="str">
        <f>'K-N-Werte'!O38</f>
        <v>-</v>
      </c>
    </row>
    <row r="14" spans="4:17" ht="17.25" thickTop="1" thickBot="1" x14ac:dyDescent="0.3">
      <c r="D14" s="28"/>
      <c r="E14" s="3"/>
      <c r="F14" s="24"/>
      <c r="G14" s="24"/>
      <c r="H14" s="9"/>
      <c r="I14" s="9"/>
      <c r="J14" s="9"/>
      <c r="K14" s="9"/>
      <c r="L14" s="9"/>
      <c r="M14" s="24"/>
      <c r="N14" s="9"/>
      <c r="O14" s="9"/>
    </row>
    <row r="15" spans="4:17" ht="16.5" thickBot="1" x14ac:dyDescent="0.3">
      <c r="D15" s="45"/>
      <c r="E15" s="46"/>
      <c r="F15" s="47"/>
      <c r="G15" s="47"/>
      <c r="H15" s="48"/>
      <c r="I15" s="48"/>
      <c r="J15" s="48"/>
      <c r="K15" s="48"/>
      <c r="L15" s="47"/>
      <c r="M15" s="48"/>
      <c r="N15" s="48"/>
      <c r="O15" s="48"/>
    </row>
    <row r="16" spans="4:17" ht="48.75" thickTop="1" thickBot="1" x14ac:dyDescent="0.3">
      <c r="D16" s="2" t="s">
        <v>19</v>
      </c>
      <c r="E16" s="3" t="s">
        <v>18</v>
      </c>
      <c r="F16" s="24" t="str">
        <f>IF(ISNUMBER('K-N-Werte'!F11)," ",IF('K-N-Werte'!F11="keine"," ",'K-N-Werte'!F11))</f>
        <v xml:space="preserve"> </v>
      </c>
      <c r="G16" s="24" t="str">
        <f>IF(ISNUMBER('K-N-Werte'!G11)," ",IF('K-N-Werte'!G11="keine"," ",'K-N-Werte'!G11))</f>
        <v xml:space="preserve"> </v>
      </c>
      <c r="H16" s="9" t="str">
        <f>IF(ISNUMBER('K-N-Werte'!H11)," ",IF('K-N-Werte'!H11="keine"," ",'K-N-Werte'!H11))</f>
        <v xml:space="preserve"> </v>
      </c>
      <c r="I16" s="9" t="str">
        <f>IF(ISNUMBER('K-N-Werte'!I11)," ",IF('K-N-Werte'!I11="keine"," ",'K-N-Werte'!I11))</f>
        <v xml:space="preserve"> </v>
      </c>
      <c r="J16" s="9" t="str">
        <f>IF(ISNUMBER('K-N-Werte'!J11)," ",IF('K-N-Werte'!J11="keine"," ",'K-N-Werte'!J11))</f>
        <v xml:space="preserve"> </v>
      </c>
      <c r="K16" s="9" t="str">
        <f>IF(ISNUMBER('K-N-Werte'!K11)," ",IF('K-N-Werte'!K11="keine"," ",'K-N-Werte'!K11))</f>
        <v xml:space="preserve"> </v>
      </c>
      <c r="L16" s="9" t="str">
        <f>IF(ISNUMBER('K-N-Werte'!L11)," ",IF('K-N-Werte'!L11="keine"," ",'K-N-Werte'!L11))</f>
        <v>Verlust der Abstellmöglichkeit für Pkw vor Ort</v>
      </c>
      <c r="M16" s="24" t="str">
        <f>IF(ISNUMBER('K-N-Werte'!M11)," ",IF('K-N-Werte'!M11="keine"," ",'K-N-Werte'!M11))</f>
        <v xml:space="preserve"> </v>
      </c>
      <c r="N16" s="9" t="str">
        <f>IF(ISNUMBER('K-N-Werte'!N11)," ",IF('K-N-Werte'!N11="keine"," ",'K-N-Werte'!N11))</f>
        <v>Verlust Auftragsvolumen Bau</v>
      </c>
      <c r="O16" s="9" t="str">
        <f>IF(ISNUMBER('K-N-Werte'!O11)," ",IF('K-N-Werte'!O11="keine"," ",'K-N-Werte'!O11))</f>
        <v xml:space="preserve"> </v>
      </c>
      <c r="Q16" t="str">
        <f>IF(ISNUMBER('K-N-Werte'!Q11)," ",IF('K-N-Werte'!Q11="keine"," ",'K-N-Werte'!Q11))</f>
        <v>nein</v>
      </c>
    </row>
    <row r="17" spans="4:17" ht="51.75" thickBot="1" x14ac:dyDescent="0.3">
      <c r="D17" s="22" t="s">
        <v>31</v>
      </c>
      <c r="E17" s="5" t="s">
        <v>32</v>
      </c>
      <c r="F17" s="25" t="str">
        <f>IF(ISNUMBER('K-N-Werte'!F12)," ",IF('K-N-Werte'!F12="keine"," ",'K-N-Werte'!F12))</f>
        <v xml:space="preserve"> </v>
      </c>
      <c r="G17" s="25" t="str">
        <f>IF(ISNUMBER('K-N-Werte'!G12)," ",IF('K-N-Werte'!G12="keine"," ",'K-N-Werte'!G12))</f>
        <v xml:space="preserve"> </v>
      </c>
      <c r="H17" s="10" t="str">
        <f>IF(ISNUMBER('K-N-Werte'!H12)," ",IF('K-N-Werte'!H12="keine"," ",'K-N-Werte'!H12))</f>
        <v xml:space="preserve"> </v>
      </c>
      <c r="I17" s="10" t="str">
        <f>IF(ISNUMBER('K-N-Werte'!I12)," ",IF('K-N-Werte'!I12="keine"," ",'K-N-Werte'!I12))</f>
        <v>Besseres lokales Stadtklima</v>
      </c>
      <c r="J17" s="10" t="str">
        <f>IF(ISNUMBER('K-N-Werte'!J12)," ",IF('K-N-Werte'!J12="keine"," ",'K-N-Werte'!J12))</f>
        <v xml:space="preserve"> </v>
      </c>
      <c r="K17" s="10" t="str">
        <f>IF(ISNUMBER('K-N-Werte'!K12)," ",IF('K-N-Werte'!K12="keine"," ",'K-N-Werte'!K12))</f>
        <v xml:space="preserve"> </v>
      </c>
      <c r="L17" s="25" t="str">
        <f>IF(ISNUMBER('K-N-Werte'!L12)," ",IF('K-N-Werte'!L12="keine"," ",'K-N-Werte'!L12))</f>
        <v xml:space="preserve"> </v>
      </c>
      <c r="M17" s="10" t="str">
        <f>IF(ISNUMBER('K-N-Werte'!M12)," ",IF('K-N-Werte'!M12="keine"," ",'K-N-Werte'!M12))</f>
        <v>Attraktiveres Wohnumfeld, bessere Luft, weniger Lärm</v>
      </c>
      <c r="N17" s="10" t="str">
        <f>IF(ISNUMBER('K-N-Werte'!N12)," ",IF('K-N-Werte'!N12="keine"," ",'K-N-Werte'!N12))</f>
        <v xml:space="preserve"> </v>
      </c>
      <c r="O17" s="10" t="str">
        <f>IF(ISNUMBER('K-N-Werte'!O12)," ",IF('K-N-Werte'!O12="keine"," ",'K-N-Werte'!O12))</f>
        <v>Weniger Flächenversiegelung; zusätzliche Aufträge für Herstellung und Pflege</v>
      </c>
      <c r="Q17" t="str">
        <f>IF(ISNUMBER('K-N-Werte'!Q12)," ",IF('K-N-Werte'!Q12="keine"," ",'K-N-Werte'!Q12))</f>
        <v>nein</v>
      </c>
    </row>
    <row r="18" spans="4:17" ht="39.75" thickTop="1" thickBot="1" x14ac:dyDescent="0.3">
      <c r="D18" s="2" t="s">
        <v>23</v>
      </c>
      <c r="E18" s="3" t="s">
        <v>33</v>
      </c>
      <c r="F18" s="24" t="str">
        <f>IF(ISNUMBER('K-N-Werte'!F13)," ",IF('K-N-Werte'!F13="keine"," ",'K-N-Werte'!F13))</f>
        <v xml:space="preserve"> </v>
      </c>
      <c r="G18" s="24" t="str">
        <f>IF(ISNUMBER('K-N-Werte'!G13)," ",IF('K-N-Werte'!G13="keine"," ",'K-N-Werte'!G13))</f>
        <v xml:space="preserve"> </v>
      </c>
      <c r="H18" s="9" t="str">
        <f>IF(ISNUMBER('K-N-Werte'!H13)," ",IF('K-N-Werte'!H13="keine"," ",'K-N-Werte'!H13))</f>
        <v xml:space="preserve"> </v>
      </c>
      <c r="I18" s="9" t="str">
        <f>IF(ISNUMBER('K-N-Werte'!I13)," ",IF('K-N-Werte'!I13="keine"," ",'K-N-Werte'!I13))</f>
        <v xml:space="preserve"> </v>
      </c>
      <c r="J18" s="9" t="str">
        <f>IF(ISNUMBER('K-N-Werte'!J13)," ",IF('K-N-Werte'!J13="keine"," ",'K-N-Werte'!J13))</f>
        <v xml:space="preserve"> </v>
      </c>
      <c r="K18" s="9" t="str">
        <f>IF(ISNUMBER('K-N-Werte'!K13)," ",IF('K-N-Werte'!K13="keine"," ",'K-N-Werte'!K13))</f>
        <v xml:space="preserve"> </v>
      </c>
      <c r="L18" s="9" t="str">
        <f>IF(ISNUMBER('K-N-Werte'!L13)," ",IF('K-N-Werte'!L13="keine"," ",'K-N-Werte'!L13))</f>
        <v>Geringere Attraktivität des Wohnumfelds durchhöhere Baudichte</v>
      </c>
      <c r="M18" s="24" t="str">
        <f>IF(ISNUMBER('K-N-Werte'!M13)," ",IF('K-N-Werte'!M13="keine"," ",'K-N-Werte'!M13))</f>
        <v xml:space="preserve"> </v>
      </c>
      <c r="N18" s="9" t="str">
        <f>IF(ISNUMBER('K-N-Werte'!N13)," ",IF('K-N-Werte'!N13="keine"," ",'K-N-Werte'!N13))</f>
        <v xml:space="preserve"> </v>
      </c>
      <c r="O18" s="9" t="str">
        <f>IF(ISNUMBER('K-N-Werte'!O13)," ",IF('K-N-Werte'!O13="keine"," ",'K-N-Werte'!O13))</f>
        <v>Zusätzliche Aufträge Bau</v>
      </c>
      <c r="Q18" t="str">
        <f>IF(ISNUMBER('K-N-Werte'!Q13)," ",IF('K-N-Werte'!Q13="keine"," ",'K-N-Werte'!Q13))</f>
        <v>nein</v>
      </c>
    </row>
    <row r="19" spans="4:17" ht="48" thickBot="1" x14ac:dyDescent="0.3">
      <c r="D19" s="4" t="s">
        <v>26</v>
      </c>
      <c r="E19" s="12" t="s">
        <v>43</v>
      </c>
      <c r="F19" s="25" t="str">
        <f>IF(ISNUMBER('K-N-Werte'!F14)," ",IF('K-N-Werte'!F14="keine"," ",'K-N-Werte'!F14))</f>
        <v xml:space="preserve"> </v>
      </c>
      <c r="G19" s="25" t="str">
        <f>IF(ISNUMBER('K-N-Werte'!G14)," ",IF('K-N-Werte'!G14="keine"," ",'K-N-Werte'!G14))</f>
        <v xml:space="preserve"> </v>
      </c>
      <c r="H19" s="10" t="str">
        <f>IF(ISNUMBER('K-N-Werte'!H14)," ",IF('K-N-Werte'!H14="keine"," ",'K-N-Werte'!H14))</f>
        <v xml:space="preserve"> </v>
      </c>
      <c r="I19" s="10" t="str">
        <f>IF(ISNUMBER('K-N-Werte'!I14)," ",IF('K-N-Werte'!I14="keine"," ",'K-N-Werte'!I14))</f>
        <v>Höhere Finanzkraft durch zusätzliche Einwohner</v>
      </c>
      <c r="J19" s="10" t="str">
        <f>IF(ISNUMBER('K-N-Werte'!J14)," ",IF('K-N-Werte'!J14="keine"," ",'K-N-Werte'!J14))</f>
        <v xml:space="preserve"> </v>
      </c>
      <c r="K19" s="10" t="str">
        <f>IF(ISNUMBER('K-N-Werte'!K14)," ",IF('K-N-Werte'!K14="keine"," ",'K-N-Werte'!K14))</f>
        <v xml:space="preserve"> </v>
      </c>
      <c r="L19" s="25" t="str">
        <f>IF(ISNUMBER('K-N-Werte'!L14)," ",IF('K-N-Werte'!L14="keine"," ",'K-N-Werte'!L14))</f>
        <v xml:space="preserve"> </v>
      </c>
      <c r="M19" s="27" t="str">
        <f>IF(ISNUMBER('K-N-Werte'!M14)," ",IF('K-N-Werte'!M14="keine"," ",'K-N-Werte'!M14))</f>
        <v>Wohnraum für zusätzliche Mieter*innen</v>
      </c>
      <c r="N19" s="10" t="str">
        <f>IF(ISNUMBER('K-N-Werte'!N14)," ",IF('K-N-Werte'!N14="keine"," ",'K-N-Werte'!N14))</f>
        <v xml:space="preserve"> </v>
      </c>
      <c r="O19" s="10" t="str">
        <f>IF(ISNUMBER('K-N-Werte'!O14)," ",IF('K-N-Werte'!O14="keine"," ",'K-N-Werte'!O14))</f>
        <v>Entlastung des Wohnungsmarktes</v>
      </c>
      <c r="Q19" t="str">
        <f>IF(ISNUMBER('K-N-Werte'!Q14)," ",IF('K-N-Werte'!Q14="keine"," ",'K-N-Werte'!Q14))</f>
        <v>nein</v>
      </c>
    </row>
    <row r="20" spans="4:17" ht="39.75" thickTop="1" thickBot="1" x14ac:dyDescent="0.3">
      <c r="D20" s="28" t="s">
        <v>154</v>
      </c>
      <c r="E20" s="3" t="s">
        <v>243</v>
      </c>
      <c r="F20" s="24" t="str">
        <f>IF(ISNUMBER('K-N-Werte'!F15)," ",IF('K-N-Werte'!F15="keine"," ",'K-N-Werte'!F15))</f>
        <v xml:space="preserve"> </v>
      </c>
      <c r="G20" s="24" t="str">
        <f>IF(ISNUMBER('K-N-Werte'!G15)," ",IF('K-N-Werte'!G15="keine"," ",'K-N-Werte'!G15))</f>
        <v xml:space="preserve"> </v>
      </c>
      <c r="H20" s="9" t="str">
        <f>IF(ISNUMBER('K-N-Werte'!H15)," ",IF('K-N-Werte'!H15="keine"," ",'K-N-Werte'!H15))</f>
        <v xml:space="preserve"> </v>
      </c>
      <c r="I20" s="9" t="str">
        <f>IF(ISNUMBER('K-N-Werte'!I15)," ",IF('K-N-Werte'!I15="keine"," ",'K-N-Werte'!I15))</f>
        <v xml:space="preserve"> </v>
      </c>
      <c r="J20" s="9" t="str">
        <f>IF(ISNUMBER('K-N-Werte'!J15)," ",IF('K-N-Werte'!J15="keine"," ",'K-N-Werte'!J15))</f>
        <v xml:space="preserve"> </v>
      </c>
      <c r="K20" s="9" t="str">
        <f>IF(ISNUMBER('K-N-Werte'!K15)," ",IF('K-N-Werte'!K15="keine"," ",'K-N-Werte'!K15))</f>
        <v xml:space="preserve"> </v>
      </c>
      <c r="L20" s="24" t="str">
        <f>IF(ISNUMBER('K-N-Werte'!L15)," ",IF('K-N-Werte'!L15="keine"," ",'K-N-Werte'!L15))</f>
        <v xml:space="preserve"> </v>
      </c>
      <c r="M20" s="9" t="str">
        <f>IF(ISNUMBER('K-N-Werte'!M15)," ",IF('K-N-Werte'!M15="keine"," ",'K-N-Werte'!M15))</f>
        <v>keine (lediglich Gewährleistung von Mobilität)</v>
      </c>
      <c r="N20" s="9" t="str">
        <f>IF(ISNUMBER('K-N-Werte'!N15)," ",IF('K-N-Werte'!N15="keine"," ",'K-N-Werte'!N15))</f>
        <v>Zusätzliche Flächenversiegelung</v>
      </c>
      <c r="O20" s="9" t="str">
        <f>IF(ISNUMBER('K-N-Werte'!O15)," ",IF('K-N-Werte'!O15="keine"," ",'K-N-Werte'!O15))</f>
        <v>Zusätzliche Aufträge Bau</v>
      </c>
      <c r="Q20" t="str">
        <f>IF(ISNUMBER('K-N-Werte'!Q15)," ",IF('K-N-Werte'!Q15="keine"," ",'K-N-Werte'!Q15))</f>
        <v>nein</v>
      </c>
    </row>
    <row r="21" spans="4:17" ht="39" thickBot="1" x14ac:dyDescent="0.3">
      <c r="D21" s="22" t="s">
        <v>155</v>
      </c>
      <c r="E21" s="12" t="s">
        <v>43</v>
      </c>
      <c r="F21" s="25" t="str">
        <f>IF(ISNUMBER('K-N-Werte'!F16)," ",IF('K-N-Werte'!F16="keine"," ",'K-N-Werte'!F16))</f>
        <v xml:space="preserve"> </v>
      </c>
      <c r="G21" s="10" t="str">
        <f>IF(ISNUMBER('K-N-Werte'!G16)," ",IF('K-N-Werte'!G16="keine"," ",'K-N-Werte'!G16))</f>
        <v xml:space="preserve"> </v>
      </c>
      <c r="H21" s="10" t="str">
        <f>IF(ISNUMBER('K-N-Werte'!H16)," ",IF('K-N-Werte'!H16="keine"," ",'K-N-Werte'!H16))</f>
        <v xml:space="preserve"> </v>
      </c>
      <c r="I21" s="10" t="str">
        <f>IF(ISNUMBER('K-N-Werte'!I16)," ",IF('K-N-Werte'!I16="keine"," ",'K-N-Werte'!I16))</f>
        <v xml:space="preserve"> </v>
      </c>
      <c r="J21" s="10" t="str">
        <f>IF(ISNUMBER('K-N-Werte'!J16)," ",IF('K-N-Werte'!J16="keine"," ",'K-N-Werte'!J16))</f>
        <v xml:space="preserve"> </v>
      </c>
      <c r="K21" s="10" t="str">
        <f>IF(ISNUMBER('K-N-Werte'!K16)," ",IF('K-N-Werte'!K16="keine"," ",'K-N-Werte'!K16))</f>
        <v xml:space="preserve"> </v>
      </c>
      <c r="L21" s="10" t="str">
        <f>IF(ISNUMBER('K-N-Werte'!L16)," ",IF('K-N-Werte'!L16="keine"," ",'K-N-Werte'!L16))</f>
        <v xml:space="preserve"> </v>
      </c>
      <c r="M21" s="10" t="str">
        <f>IF(ISNUMBER('K-N-Werte'!M16)," ",IF('K-N-Werte'!M16="keine"," ",'K-N-Werte'!M16))</f>
        <v>keine (lediglich Nutzung Pkw weiter möglich)</v>
      </c>
      <c r="N21" s="10" t="str">
        <f>IF(ISNUMBER('K-N-Werte'!N16)," ",IF('K-N-Werte'!N16="keine"," ",'K-N-Werte'!N16))</f>
        <v xml:space="preserve"> </v>
      </c>
      <c r="O21" s="10" t="str">
        <f>IF(ISNUMBER('K-N-Werte'!O16)," ",IF('K-N-Werte'!O16="keine"," ",'K-N-Werte'!O16))</f>
        <v>Zusätzliche Aufträge Erhaltung</v>
      </c>
      <c r="Q21" t="str">
        <f>IF(ISNUMBER('K-N-Werte'!Q16)," ",IF('K-N-Werte'!Q16="keine"," ",'K-N-Werte'!Q16))</f>
        <v>nein</v>
      </c>
    </row>
    <row r="22" spans="4:17" ht="48.75" thickTop="1" thickBot="1" x14ac:dyDescent="0.3">
      <c r="D22" s="2" t="s">
        <v>20</v>
      </c>
      <c r="E22" s="3" t="s">
        <v>21</v>
      </c>
      <c r="F22" s="9" t="str">
        <f>IF(ISNUMBER('K-N-Werte'!F17)," ",IF('K-N-Werte'!F17="keine"," ",'K-N-Werte'!F17))</f>
        <v xml:space="preserve"> </v>
      </c>
      <c r="G22" s="24" t="str">
        <f>IF(ISNUMBER('K-N-Werte'!G17)," ",IF('K-N-Werte'!G17="keine"," ",'K-N-Werte'!G17))</f>
        <v xml:space="preserve"> </v>
      </c>
      <c r="H22" s="24" t="str">
        <f>IF(ISNUMBER('K-N-Werte'!H17)," ",IF('K-N-Werte'!H17="keine"," ",'K-N-Werte'!H17))</f>
        <v xml:space="preserve"> </v>
      </c>
      <c r="I22" s="9" t="str">
        <f>IF(ISNUMBER('K-N-Werte'!I17)," ",IF('K-N-Werte'!I17="keine"," ",'K-N-Werte'!I17))</f>
        <v xml:space="preserve"> </v>
      </c>
      <c r="J22" s="9" t="str">
        <f>IF(ISNUMBER('K-N-Werte'!J17)," ",IF('K-N-Werte'!J17="keine"," ",'K-N-Werte'!J17))</f>
        <v xml:space="preserve"> </v>
      </c>
      <c r="K22" s="9" t="str">
        <f>IF(ISNUMBER('K-N-Werte'!K17)," ",IF('K-N-Werte'!K17="keine"," ",'K-N-Werte'!K17))</f>
        <v xml:space="preserve"> </v>
      </c>
      <c r="L22" s="9" t="str">
        <f>IF(ISNUMBER('K-N-Werte'!L17)," ",IF('K-N-Werte'!L17="keine"," ",'K-N-Werte'!L17))</f>
        <v xml:space="preserve"> </v>
      </c>
      <c r="M22" s="9" t="str">
        <f>IF(ISNUMBER('K-N-Werte'!M17)," ",IF('K-N-Werte'!M17="keine"," ",'K-N-Werte'!M17))</f>
        <v xml:space="preserve"> </v>
      </c>
      <c r="N22" s="9" t="str">
        <f>IF(ISNUMBER('K-N-Werte'!N17)," ",IF('K-N-Werte'!N17="keine"," ",'K-N-Werte'!N17))</f>
        <v>Zusätzliche Flächenversiegelung</v>
      </c>
      <c r="O22" s="9" t="str">
        <f>IF(ISNUMBER('K-N-Werte'!O17)," ",IF('K-N-Werte'!O17="keine"," ",'K-N-Werte'!O17))</f>
        <v>Zusätzliche Aufträge Bau</v>
      </c>
      <c r="Q22" t="str">
        <f>IF(ISNUMBER('K-N-Werte'!Q17)," ",IF('K-N-Werte'!Q17="keine"," ",'K-N-Werte'!Q17))</f>
        <v>nein</v>
      </c>
    </row>
    <row r="23" spans="4:17" ht="39" thickBot="1" x14ac:dyDescent="0.3">
      <c r="D23" s="4" t="s">
        <v>22</v>
      </c>
      <c r="E23" s="12" t="s">
        <v>43</v>
      </c>
      <c r="F23" s="10" t="str">
        <f>IF(ISNUMBER('K-N-Werte'!F18)," ",IF('K-N-Werte'!F18="keine"," ",'K-N-Werte'!F18))</f>
        <v xml:space="preserve"> </v>
      </c>
      <c r="G23" s="10" t="str">
        <f>IF(ISNUMBER('K-N-Werte'!G18)," ",IF('K-N-Werte'!G18="keine"," ",'K-N-Werte'!G18))</f>
        <v xml:space="preserve"> </v>
      </c>
      <c r="H23" s="25" t="str">
        <f>IF(ISNUMBER('K-N-Werte'!H18)," ",IF('K-N-Werte'!H18="keine"," ",'K-N-Werte'!H18))</f>
        <v xml:space="preserve"> </v>
      </c>
      <c r="I23" s="25" t="str">
        <f>IF(ISNUMBER('K-N-Werte'!I18)," ",IF('K-N-Werte'!I18="keine"," ",'K-N-Werte'!I18))</f>
        <v xml:space="preserve"> </v>
      </c>
      <c r="J23" s="10" t="str">
        <f>IF(ISNUMBER('K-N-Werte'!J18)," ",IF('K-N-Werte'!J18="keine"," ",'K-N-Werte'!J18))</f>
        <v xml:space="preserve"> </v>
      </c>
      <c r="K23" s="10" t="str">
        <f>IF(ISNUMBER('K-N-Werte'!K18)," ",IF('K-N-Werte'!K18="keine"," ",'K-N-Werte'!K18))</f>
        <v xml:space="preserve"> </v>
      </c>
      <c r="L23" s="30" t="str">
        <f>IF(ISNUMBER('K-N-Werte'!L18)," ",IF('K-N-Werte'!L18="keine"," ",'K-N-Werte'!L18))</f>
        <v xml:space="preserve"> </v>
      </c>
      <c r="M23" s="10" t="str">
        <f>IF(ISNUMBER('K-N-Werte'!M18)," ",IF('K-N-Werte'!M18="keine"," ",'K-N-Werte'!M18))</f>
        <v>keine (lediglich Nutzung Pkw weiter möglich)</v>
      </c>
      <c r="N23" s="10" t="str">
        <f>IF(ISNUMBER('K-N-Werte'!N18)," ",IF('K-N-Werte'!N18="keine"," ",'K-N-Werte'!N18))</f>
        <v xml:space="preserve"> </v>
      </c>
      <c r="O23" s="10" t="str">
        <f>IF(ISNUMBER('K-N-Werte'!O18)," ",IF('K-N-Werte'!O18="keine"," ",'K-N-Werte'!O18))</f>
        <v>Zusätzliche Aufträge Erhaltung</v>
      </c>
      <c r="Q23" t="str">
        <f>IF(ISNUMBER('K-N-Werte'!Q18)," ",IF('K-N-Werte'!Q18="keine"," ",'K-N-Werte'!Q18))</f>
        <v>nein</v>
      </c>
    </row>
    <row r="24" spans="4:17" ht="52.5" thickTop="1" thickBot="1" x14ac:dyDescent="0.3">
      <c r="D24" s="2" t="s">
        <v>14</v>
      </c>
      <c r="E24" s="3" t="s">
        <v>16</v>
      </c>
      <c r="F24" s="9" t="str">
        <f>IF(ISNUMBER('K-N-Werte'!F19)," ",IF('K-N-Werte'!F19="keine"," ",'K-N-Werte'!F19))</f>
        <v xml:space="preserve"> </v>
      </c>
      <c r="G24" s="9" t="str">
        <f>IF(ISNUMBER('K-N-Werte'!G19)," ",IF('K-N-Werte'!G19="keine"," ",'K-N-Werte'!G19))</f>
        <v xml:space="preserve"> </v>
      </c>
      <c r="H24" s="9" t="str">
        <f>IF(ISNUMBER('K-N-Werte'!H19)," ",IF('K-N-Werte'!H19="keine"," ",'K-N-Werte'!H19))</f>
        <v>Reduzierung kommunaler Steuer- und sonstiger Erträge</v>
      </c>
      <c r="I24" s="9" t="str">
        <f>IF(ISNUMBER('K-N-Werte'!I19)," ",IF('K-N-Werte'!I19="keine"," ",'K-N-Werte'!I19))</f>
        <v>Entlastung Straßen</v>
      </c>
      <c r="J24" s="9" t="str">
        <f>IF(ISNUMBER('K-N-Werte'!J19)," ",IF('K-N-Werte'!J19="keine"," ",'K-N-Werte'!J19))</f>
        <v xml:space="preserve"> </v>
      </c>
      <c r="K24" s="9" t="str">
        <f>IF(ISNUMBER('K-N-Werte'!K19)," ",IF('K-N-Werte'!K19="keine"," ",'K-N-Werte'!K19))</f>
        <v>Weniger störende Einflüsse durch Individualverkehr</v>
      </c>
      <c r="L24" s="24" t="str">
        <f>IF(ISNUMBER('K-N-Werte'!L19)," ",IF('K-N-Werte'!L19="keine"," ",'K-N-Werte'!L19))</f>
        <v xml:space="preserve"> </v>
      </c>
      <c r="M24" s="24" t="str">
        <f>IF(ISNUMBER('K-N-Werte'!M19)," ",IF('K-N-Werte'!M19="keine"," ",'K-N-Werte'!M19))</f>
        <v xml:space="preserve"> </v>
      </c>
      <c r="N24" s="9" t="str">
        <f>IF(ISNUMBER('K-N-Werte'!N19)," ",IF('K-N-Werte'!N19="keine"," ",'K-N-Werte'!N19))</f>
        <v>Erhöhung der durch Pkw an anderer Stelle (außerhalb Deutschlands) verursachten CO2-Emissionen</v>
      </c>
      <c r="O24" s="9" t="str">
        <f>IF(ISNUMBER('K-N-Werte'!O19)," ",IF('K-N-Werte'!O19="keine"," ",'K-N-Werte'!O19))</f>
        <v>Reduzierung der durch eigene Pkw lokal verursachten CO2-Emissionen</v>
      </c>
      <c r="Q24" t="str">
        <f>IF(ISNUMBER('K-N-Werte'!Q19)," ",IF('K-N-Werte'!Q19="keine"," ",'K-N-Werte'!Q19))</f>
        <v>nein</v>
      </c>
    </row>
    <row r="25" spans="4:17" ht="26.25" thickBot="1" x14ac:dyDescent="0.3">
      <c r="D25" s="4" t="s">
        <v>15</v>
      </c>
      <c r="E25" s="5" t="s">
        <v>17</v>
      </c>
      <c r="F25" s="10" t="str">
        <f>IF(ISNUMBER('K-N-Werte'!F20)," ",IF('K-N-Werte'!F20="keine"," ",'K-N-Werte'!F20))</f>
        <v xml:space="preserve"> </v>
      </c>
      <c r="G25" s="10" t="str">
        <f>IF(ISNUMBER('K-N-Werte'!G20)," ",IF('K-N-Werte'!G20="keine"," ",'K-N-Werte'!G20))</f>
        <v xml:space="preserve"> </v>
      </c>
      <c r="H25" s="10" t="str">
        <f>IF(ISNUMBER('K-N-Werte'!H20)," ",IF('K-N-Werte'!H20="keine"," ",'K-N-Werte'!H20))</f>
        <v xml:space="preserve"> </v>
      </c>
      <c r="I25" s="10" t="str">
        <f>IF(ISNUMBER('K-N-Werte'!I20)," ",IF('K-N-Werte'!I20="keine"," ",'K-N-Werte'!I20))</f>
        <v xml:space="preserve"> </v>
      </c>
      <c r="J25" s="10" t="str">
        <f>IF(ISNUMBER('K-N-Werte'!J20)," ",IF('K-N-Werte'!J20="keine"," ",'K-N-Werte'!J20))</f>
        <v xml:space="preserve"> </v>
      </c>
      <c r="K25" s="10" t="str">
        <f>IF(ISNUMBER('K-N-Werte'!K20)," ",IF('K-N-Werte'!K20="keine"," ",'K-N-Werte'!K20))</f>
        <v xml:space="preserve"> </v>
      </c>
      <c r="L25" s="10" t="str">
        <f>IF(ISNUMBER('K-N-Werte'!L20)," ",IF('K-N-Werte'!L20="keine"," ",'K-N-Werte'!L20))</f>
        <v xml:space="preserve"> </v>
      </c>
      <c r="M25" s="25" t="str">
        <f>IF(ISNUMBER('K-N-Werte'!M20)," ",IF('K-N-Werte'!M20="keine"," ",'K-N-Werte'!M20))</f>
        <v xml:space="preserve"> </v>
      </c>
      <c r="N25" s="10" t="str">
        <f>IF(ISNUMBER('K-N-Werte'!N20)," ",IF('K-N-Werte'!N20="keine"," ",'K-N-Werte'!N20))</f>
        <v>Folgen von Überkapazitäten in der Automobilwirtschaft</v>
      </c>
      <c r="O25" s="10" t="str">
        <f>IF(ISNUMBER('K-N-Werte'!O20)," ",IF('K-N-Werte'!O20="keine"," ",'K-N-Werte'!O20))</f>
        <v>Unterstützung Mobilitätswende</v>
      </c>
      <c r="Q25" t="str">
        <f>IF(ISNUMBER('K-N-Werte'!Q20)," ",IF('K-N-Werte'!Q20="keine"," ",'K-N-Werte'!Q20))</f>
        <v>nein</v>
      </c>
    </row>
    <row r="26" spans="4:17" ht="39.75" thickTop="1" thickBot="1" x14ac:dyDescent="0.3">
      <c r="D26" s="2" t="s">
        <v>4</v>
      </c>
      <c r="E26" s="3" t="s">
        <v>5</v>
      </c>
      <c r="F26" s="9" t="str">
        <f>IF(ISNUMBER('K-N-Werte'!F21)," ",IF('K-N-Werte'!F21="keine"," ",'K-N-Werte'!F21))</f>
        <v xml:space="preserve"> </v>
      </c>
      <c r="G26" s="24" t="str">
        <f>IF(ISNUMBER('K-N-Werte'!G21)," ",IF('K-N-Werte'!G21="keine"," ",'K-N-Werte'!G21))</f>
        <v xml:space="preserve"> </v>
      </c>
      <c r="H26" s="24" t="str">
        <f>IF(ISNUMBER('K-N-Werte'!H21)," ",IF('K-N-Werte'!H21="keine"," ",'K-N-Werte'!H21))</f>
        <v xml:space="preserve"> </v>
      </c>
      <c r="I26" s="9" t="str">
        <f>IF(ISNUMBER('K-N-Werte'!I21)," ",IF('K-N-Werte'!I21="keine"," ",'K-N-Werte'!I21))</f>
        <v xml:space="preserve"> </v>
      </c>
      <c r="J26" s="24" t="str">
        <f>IF(ISNUMBER('K-N-Werte'!J21)," ",IF('K-N-Werte'!J21="keine"," ",'K-N-Werte'!J21))</f>
        <v xml:space="preserve"> </v>
      </c>
      <c r="K26" s="24" t="str">
        <f>IF(ISNUMBER('K-N-Werte'!K21)," ",IF('K-N-Werte'!K21="keine"," ",'K-N-Werte'!K21))</f>
        <v xml:space="preserve"> </v>
      </c>
      <c r="L26" s="24" t="str">
        <f>IF(ISNUMBER('K-N-Werte'!L21)," ",IF('K-N-Werte'!L21="keine"," ",'K-N-Werte'!L21))</f>
        <v xml:space="preserve"> </v>
      </c>
      <c r="M26" s="9" t="str">
        <f>IF(ISNUMBER('K-N-Werte'!M21)," ",IF('K-N-Werte'!M21="keine"," ",'K-N-Werte'!M21))</f>
        <v xml:space="preserve"> </v>
      </c>
      <c r="N26" s="9" t="str">
        <f>IF(ISNUMBER('K-N-Werte'!N21)," ",IF('K-N-Werte'!N21="keine"," ",'K-N-Werte'!N21))</f>
        <v>Verlust von Flächennutzungsoptionen</v>
      </c>
      <c r="O26" s="9" t="str">
        <f>IF(ISNUMBER('K-N-Werte'!O21)," ",IF('K-N-Werte'!O21="keine"," ",'K-N-Werte'!O21))</f>
        <v>Zusätzliche Aufträge Bau</v>
      </c>
      <c r="Q26" t="str">
        <f>IF(ISNUMBER('K-N-Werte'!Q21)," ",IF('K-N-Werte'!Q21="keine"," ",'K-N-Werte'!Q21))</f>
        <v>nein</v>
      </c>
    </row>
    <row r="27" spans="4:17" ht="39" thickBot="1" x14ac:dyDescent="0.3">
      <c r="D27" s="4" t="s">
        <v>6</v>
      </c>
      <c r="E27" s="5" t="s">
        <v>7</v>
      </c>
      <c r="F27" s="10" t="str">
        <f>IF(ISNUMBER('K-N-Werte'!F22)," ",IF('K-N-Werte'!F22="keine"," ",'K-N-Werte'!F22))</f>
        <v xml:space="preserve"> </v>
      </c>
      <c r="G27" s="10" t="str">
        <f>IF(ISNUMBER('K-N-Werte'!G22)," ",IF('K-N-Werte'!G22="keine"," ",'K-N-Werte'!G22))</f>
        <v xml:space="preserve"> </v>
      </c>
      <c r="H27" s="10" t="str">
        <f>IF(ISNUMBER('K-N-Werte'!H22)," ",IF('K-N-Werte'!H22="keine"," ",'K-N-Werte'!H22))</f>
        <v>keine (ggf. Verlustausgleich bei kommunalem ÖV-Anbieter)</v>
      </c>
      <c r="I27" s="10" t="str">
        <f>IF(ISNUMBER('K-N-Werte'!I22)," ",IF('K-N-Werte'!I22="keine"," ",'K-N-Werte'!I22))</f>
        <v>Höhere Attraktivität in der Außenwirkung</v>
      </c>
      <c r="J27" s="25" t="str">
        <f>IF(ISNUMBER('K-N-Werte'!J22)," ",IF('K-N-Werte'!J22="keine"," ",'K-N-Werte'!J22))</f>
        <v xml:space="preserve"> </v>
      </c>
      <c r="K27" s="25" t="str">
        <f>IF(ISNUMBER('K-N-Werte'!K22)," ",IF('K-N-Werte'!K22="keine"," ",'K-N-Werte'!K22))</f>
        <v xml:space="preserve"> </v>
      </c>
      <c r="L27" s="10" t="str">
        <f>IF(ISNUMBER('K-N-Werte'!L22)," ",IF('K-N-Werte'!L22="keine"," ",'K-N-Werte'!L22))</f>
        <v xml:space="preserve"> </v>
      </c>
      <c r="M27" s="10" t="str">
        <f>IF(ISNUMBER('K-N-Werte'!M22)," ",IF('K-N-Werte'!M22="keine"," ",'K-N-Werte'!M22))</f>
        <v xml:space="preserve"> </v>
      </c>
      <c r="N27" s="10" t="str">
        <f>IF(ISNUMBER('K-N-Werte'!N22)," ",IF('K-N-Werte'!N22="keine"," ",'K-N-Werte'!N22))</f>
        <v xml:space="preserve"> </v>
      </c>
      <c r="O27" s="10" t="str">
        <f>IF(ISNUMBER('K-N-Werte'!O22)," ",IF('K-N-Werte'!O22="keine"," ",'K-N-Werte'!O22))</f>
        <v>Zusätzliche Arbeitsplätze; zusätzliche Aufträge für Hersteller der Fahrzeuge</v>
      </c>
      <c r="Q27" t="str">
        <f>IF(ISNUMBER('K-N-Werte'!Q22)," ",IF('K-N-Werte'!Q22="keine"," ",'K-N-Werte'!Q22))</f>
        <v>nein</v>
      </c>
    </row>
    <row r="28" spans="4:17" ht="39.75" thickTop="1" thickBot="1" x14ac:dyDescent="0.3">
      <c r="D28" s="2" t="s">
        <v>8</v>
      </c>
      <c r="E28" s="3" t="s">
        <v>9</v>
      </c>
      <c r="F28" s="24" t="str">
        <f>IF(ISNUMBER('K-N-Werte'!F23)," ",IF('K-N-Werte'!F23="keine"," ",'K-N-Werte'!F23))</f>
        <v xml:space="preserve"> </v>
      </c>
      <c r="G28" s="24" t="str">
        <f>IF(ISNUMBER('K-N-Werte'!G23)," ",IF('K-N-Werte'!G23="keine"," ",'K-N-Werte'!G23))</f>
        <v xml:space="preserve"> </v>
      </c>
      <c r="H28" s="9" t="str">
        <f>IF(ISNUMBER('K-N-Werte'!H23)," ",IF('K-N-Werte'!H23="keine"," ",'K-N-Werte'!H23))</f>
        <v xml:space="preserve"> </v>
      </c>
      <c r="I28" s="9" t="str">
        <f>IF(ISNUMBER('K-N-Werte'!I23)," ",IF('K-N-Werte'!I23="keine"," ",'K-N-Werte'!I23))</f>
        <v xml:space="preserve"> </v>
      </c>
      <c r="J28" s="9" t="str">
        <f>IF(ISNUMBER('K-N-Werte'!J23)," ",IF('K-N-Werte'!J23="keine"," ",'K-N-Werte'!J23))</f>
        <v xml:space="preserve"> </v>
      </c>
      <c r="K28" s="24" t="str">
        <f>IF(ISNUMBER('K-N-Werte'!K23)," ",IF('K-N-Werte'!K23="keine"," ",'K-N-Werte'!K23))</f>
        <v xml:space="preserve"> </v>
      </c>
      <c r="L28" s="24" t="str">
        <f>IF(ISNUMBER('K-N-Werte'!L23)," ",IF('K-N-Werte'!L23="keine"," ",'K-N-Werte'!L23))</f>
        <v xml:space="preserve"> </v>
      </c>
      <c r="M28" s="9" t="str">
        <f>IF(ISNUMBER('K-N-Werte'!M23)," ",IF('K-N-Werte'!M23="keine"," ",'K-N-Werte'!M23))</f>
        <v>keine (lediglich Gewährleistung von Mobilität)</v>
      </c>
      <c r="N28" s="9" t="str">
        <f>IF(ISNUMBER('K-N-Werte'!N23)," ",IF('K-N-Werte'!N23="keine"," ",'K-N-Werte'!N23))</f>
        <v xml:space="preserve"> </v>
      </c>
      <c r="O28" s="9" t="str">
        <f>IF(ISNUMBER('K-N-Werte'!O23)," ",IF('K-N-Werte'!O23="keine"," ",'K-N-Werte'!O23))</f>
        <v>Unterstützung Mobilitätswende</v>
      </c>
      <c r="Q28" t="str">
        <f>IF(ISNUMBER('K-N-Werte'!Q23)," ",IF('K-N-Werte'!Q23="keine"," ",'K-N-Werte'!Q23))</f>
        <v>nein</v>
      </c>
    </row>
    <row r="29" spans="4:17" ht="51.75" thickBot="1" x14ac:dyDescent="0.3">
      <c r="D29" s="4" t="s">
        <v>24</v>
      </c>
      <c r="E29" s="12" t="s">
        <v>43</v>
      </c>
      <c r="F29" s="10" t="str">
        <f>IF(ISNUMBER('K-N-Werte'!F24)," ",IF('K-N-Werte'!F24="keine"," ",'K-N-Werte'!F24))</f>
        <v xml:space="preserve"> </v>
      </c>
      <c r="G29" s="10" t="str">
        <f>IF(ISNUMBER('K-N-Werte'!G24)," ",IF('K-N-Werte'!G24="keine"," ",'K-N-Werte'!G24))</f>
        <v xml:space="preserve"> </v>
      </c>
      <c r="H29" s="10" t="str">
        <f>IF(ISNUMBER('K-N-Werte'!H24)," ",IF('K-N-Werte'!H24="keine"," ",'K-N-Werte'!H24))</f>
        <v xml:space="preserve"> </v>
      </c>
      <c r="I29" s="10" t="str">
        <f>IF(ISNUMBER('K-N-Werte'!I24)," ",IF('K-N-Werte'!I24="keine"," ",'K-N-Werte'!I24))</f>
        <v xml:space="preserve"> </v>
      </c>
      <c r="J29" s="25" t="str">
        <f>IF(ISNUMBER('K-N-Werte'!J24)," ",IF('K-N-Werte'!J24="keine"," ",'K-N-Werte'!J24))</f>
        <v xml:space="preserve"> </v>
      </c>
      <c r="K29" s="10" t="str">
        <f>IF(ISNUMBER('K-N-Werte'!K24)," ",IF('K-N-Werte'!K24="keine"," ",'K-N-Werte'!K24))</f>
        <v>Ersparnis durch die von Wohnungsunternehmen übernommenen Vertriebsleistungen</v>
      </c>
      <c r="L29" s="10" t="str">
        <f>IF(ISNUMBER('K-N-Werte'!L24)," ",IF('K-N-Werte'!L24="keine"," ",'K-N-Werte'!L24))</f>
        <v>Zeitverluste durch längere Wege und Wartezeiten; Verlust Sicherheit</v>
      </c>
      <c r="M29" s="10" t="str">
        <f>IF(ISNUMBER('K-N-Werte'!M24)," ",IF('K-N-Werte'!M24="keine"," ",'K-N-Werte'!M24))</f>
        <v>keine (lediglich Befriedigung wesentlicher Mobilitätsbedürfnisse)</v>
      </c>
      <c r="N29" s="10" t="str">
        <f>IF(ISNUMBER('K-N-Werte'!N24)," ",IF('K-N-Werte'!N24="keine"," ",'K-N-Werte'!N24))</f>
        <v xml:space="preserve"> </v>
      </c>
      <c r="O29" s="10" t="str">
        <f>IF(ISNUMBER('K-N-Werte'!O24)," ",IF('K-N-Werte'!O24="keine"," ",'K-N-Werte'!O24))</f>
        <v>Unterstützung Mobilitätswende</v>
      </c>
      <c r="Q29" t="str">
        <f>IF(ISNUMBER('K-N-Werte'!Q24)," ",IF('K-N-Werte'!Q24="keine"," ",'K-N-Werte'!Q24))</f>
        <v>nein</v>
      </c>
    </row>
    <row r="30" spans="4:17" ht="33" thickTop="1" thickBot="1" x14ac:dyDescent="0.3">
      <c r="D30" s="2" t="s">
        <v>10</v>
      </c>
      <c r="E30" s="3" t="s">
        <v>11</v>
      </c>
      <c r="F30" s="24" t="str">
        <f>IF(ISNUMBER('K-N-Werte'!F25)," ",IF('K-N-Werte'!F25="keine"," ",'K-N-Werte'!F25))</f>
        <v xml:space="preserve"> </v>
      </c>
      <c r="G30" s="24" t="str">
        <f>IF(ISNUMBER('K-N-Werte'!G25)," ",IF('K-N-Werte'!G25="keine"," ",'K-N-Werte'!G25))</f>
        <v xml:space="preserve"> </v>
      </c>
      <c r="H30" s="9" t="str">
        <f>IF(ISNUMBER('K-N-Werte'!H25)," ",IF('K-N-Werte'!H25="keine"," ",'K-N-Werte'!H25))</f>
        <v xml:space="preserve"> </v>
      </c>
      <c r="I30" s="9" t="str">
        <f>IF(ISNUMBER('K-N-Werte'!I25)," ",IF('K-N-Werte'!I25="keine"," ",'K-N-Werte'!I25))</f>
        <v>Zusätzliche kommunale Steuer- und sonstige Erträge</v>
      </c>
      <c r="J30" s="9" t="str">
        <f>IF(ISNUMBER('K-N-Werte'!J25)," ",IF('K-N-Werte'!J25="keine"," ",'K-N-Werte'!J25))</f>
        <v xml:space="preserve"> </v>
      </c>
      <c r="K30" s="9" t="str">
        <f>IF(ISNUMBER('K-N-Werte'!K25)," ",IF('K-N-Werte'!K25="keine"," ",'K-N-Werte'!K25))</f>
        <v xml:space="preserve"> </v>
      </c>
      <c r="L30" s="24" t="str">
        <f>IF(ISNUMBER('K-N-Werte'!L25)," ",IF('K-N-Werte'!L25="keine"," ",'K-N-Werte'!L25))</f>
        <v xml:space="preserve"> </v>
      </c>
      <c r="M30" s="9" t="str">
        <f>IF(ISNUMBER('K-N-Werte'!M25)," ",IF('K-N-Werte'!M25="keine"," ",'K-N-Werte'!M25))</f>
        <v>keine (lediglich Gewährleistung von Mobilität)</v>
      </c>
      <c r="N30" s="9" t="str">
        <f>IF(ISNUMBER('K-N-Werte'!N25)," ",IF('K-N-Werte'!N25="keine"," ",'K-N-Werte'!N25))</f>
        <v xml:space="preserve"> </v>
      </c>
      <c r="O30" s="9" t="str">
        <f>IF(ISNUMBER('K-N-Werte'!O25)," ",IF('K-N-Werte'!O25="keine"," ",'K-N-Werte'!O25))</f>
        <v>Zusätzliche Aufträge Bau un Fahrzeuge</v>
      </c>
      <c r="Q30" t="str">
        <f>IF(ISNUMBER('K-N-Werte'!Q25)," ",IF('K-N-Werte'!Q25="keine"," ",'K-N-Werte'!Q25))</f>
        <v>nein</v>
      </c>
    </row>
    <row r="31" spans="4:17" ht="39" thickBot="1" x14ac:dyDescent="0.3">
      <c r="D31" s="4" t="s">
        <v>25</v>
      </c>
      <c r="E31" s="12" t="s">
        <v>43</v>
      </c>
      <c r="F31" s="25" t="str">
        <f>IF(ISNUMBER('K-N-Werte'!F26)," ",IF('K-N-Werte'!F26="keine"," ",'K-N-Werte'!F26))</f>
        <v xml:space="preserve"> </v>
      </c>
      <c r="G31" s="10" t="str">
        <f>IF(ISNUMBER('K-N-Werte'!G26)," ",IF('K-N-Werte'!G26="keine"," ",'K-N-Werte'!G26))</f>
        <v xml:space="preserve"> </v>
      </c>
      <c r="H31" s="10" t="str">
        <f>IF(ISNUMBER('K-N-Werte'!H26)," ",IF('K-N-Werte'!H26="keine"," ",'K-N-Werte'!H26))</f>
        <v xml:space="preserve"> </v>
      </c>
      <c r="I31" s="10" t="str">
        <f>IF(ISNUMBER('K-N-Werte'!I26)," ",IF('K-N-Werte'!I26="keine"," ",'K-N-Werte'!I26))</f>
        <v>Zusätzliche kommunale Steuer- und sonstige Erträge</v>
      </c>
      <c r="J31" s="25" t="str">
        <f>IF(ISNUMBER('K-N-Werte'!J26)," ",IF('K-N-Werte'!J26="keine"," ",'K-N-Werte'!J26))</f>
        <v xml:space="preserve"> </v>
      </c>
      <c r="K31" s="10" t="str">
        <f>IF(ISNUMBER('K-N-Werte'!K26)," ",IF('K-N-Werte'!K26="keine"," ",'K-N-Werte'!K26))</f>
        <v xml:space="preserve"> </v>
      </c>
      <c r="L31" s="25" t="str">
        <f>IF(ISNUMBER('K-N-Werte'!L26)," ",IF('K-N-Werte'!L26="keine"," ",'K-N-Werte'!L26))</f>
        <v xml:space="preserve"> </v>
      </c>
      <c r="M31" s="10" t="str">
        <f>IF(ISNUMBER('K-N-Werte'!M26)," ",IF('K-N-Werte'!M26="keine"," ",'K-N-Werte'!M26))</f>
        <v>keine (lediglich Befriedigung wesentlicher Mobilitätsbedürfnisse)</v>
      </c>
      <c r="N31" s="10" t="str">
        <f>IF(ISNUMBER('K-N-Werte'!N26)," ",IF('K-N-Werte'!N26="keine"," ",'K-N-Werte'!N26))</f>
        <v xml:space="preserve"> </v>
      </c>
      <c r="O31" s="10" t="str">
        <f>IF(ISNUMBER('K-N-Werte'!O26)," ",IF('K-N-Werte'!O26="keine"," ",'K-N-Werte'!O26))</f>
        <v>Zusätzliche Aufträge Erhaltung; Unterstützung Mobilitätswende</v>
      </c>
      <c r="Q31" t="str">
        <f>IF(ISNUMBER('K-N-Werte'!Q26)," ",IF('K-N-Werte'!Q26="keine"," ",'K-N-Werte'!Q26))</f>
        <v>nein</v>
      </c>
    </row>
    <row r="32" spans="4:17" ht="26.25" thickBot="1" x14ac:dyDescent="0.3">
      <c r="D32" s="22" t="s">
        <v>150</v>
      </c>
      <c r="E32" s="29" t="s">
        <v>156</v>
      </c>
      <c r="F32" s="31" t="str">
        <f>IF(ISNUMBER('K-N-Werte'!F27)," ",IF('K-N-Werte'!F27="keine"," ",'K-N-Werte'!F27))</f>
        <v xml:space="preserve"> </v>
      </c>
      <c r="G32" s="31" t="str">
        <f>IF(ISNUMBER('K-N-Werte'!G27)," ",IF('K-N-Werte'!G27="keine"," ",'K-N-Werte'!G27))</f>
        <v xml:space="preserve"> </v>
      </c>
      <c r="H32" s="11" t="str">
        <f>IF(ISNUMBER('K-N-Werte'!H27)," ",IF('K-N-Werte'!H27="keine"," ",'K-N-Werte'!H27))</f>
        <v xml:space="preserve"> </v>
      </c>
      <c r="I32" s="11" t="str">
        <f>IF(ISNUMBER('K-N-Werte'!I27)," ",IF('K-N-Werte'!I27="keine"," ",'K-N-Werte'!I27))</f>
        <v>Zusätzliche kommunale Steuer- und sonstige Erträge</v>
      </c>
      <c r="J32" s="11" t="str">
        <f>IF(ISNUMBER('K-N-Werte'!J27)," ",IF('K-N-Werte'!J27="keine"," ",'K-N-Werte'!J27))</f>
        <v xml:space="preserve"> </v>
      </c>
      <c r="K32" s="11" t="str">
        <f>IF(ISNUMBER('K-N-Werte'!K27)," ",IF('K-N-Werte'!K27="keine"," ",'K-N-Werte'!K27))</f>
        <v xml:space="preserve"> </v>
      </c>
      <c r="L32" s="31" t="str">
        <f>IF(ISNUMBER('K-N-Werte'!L27)," ",IF('K-N-Werte'!L27="keine"," ",'K-N-Werte'!L27))</f>
        <v xml:space="preserve"> </v>
      </c>
      <c r="M32" s="11" t="str">
        <f>IF(ISNUMBER('K-N-Werte'!M27)," ",IF('K-N-Werte'!M27="keine"," ",'K-N-Werte'!M27))</f>
        <v>keine (lediglich Gewährleistung von Mobilität)</v>
      </c>
      <c r="N32" s="11" t="str">
        <f>IF(ISNUMBER('K-N-Werte'!N27)," ",IF('K-N-Werte'!N27="keine"," ",'K-N-Werte'!N27))</f>
        <v xml:space="preserve"> </v>
      </c>
      <c r="O32" s="11" t="str">
        <f>IF(ISNUMBER('K-N-Werte'!O27)," ",IF('K-N-Werte'!O27="keine"," ",'K-N-Werte'!O27))</f>
        <v>Zusätzliche Aufträge Bau un Fahrzeuge</v>
      </c>
      <c r="Q32" t="str">
        <f>IF(ISNUMBER('K-N-Werte'!Q27)," ",IF('K-N-Werte'!Q27="keine"," ",'K-N-Werte'!Q27))</f>
        <v>nein</v>
      </c>
    </row>
    <row r="33" spans="4:17" ht="39" thickBot="1" x14ac:dyDescent="0.3">
      <c r="D33" s="22" t="s">
        <v>151</v>
      </c>
      <c r="E33" s="12" t="s">
        <v>43</v>
      </c>
      <c r="F33" s="25" t="str">
        <f>IF(ISNUMBER('K-N-Werte'!F28)," ",IF('K-N-Werte'!F28="keine"," ",'K-N-Werte'!F28))</f>
        <v xml:space="preserve"> </v>
      </c>
      <c r="G33" s="10" t="str">
        <f>IF(ISNUMBER('K-N-Werte'!G28)," ",IF('K-N-Werte'!G28="keine"," ",'K-N-Werte'!G28))</f>
        <v xml:space="preserve"> </v>
      </c>
      <c r="H33" s="10" t="str">
        <f>IF(ISNUMBER('K-N-Werte'!H28)," ",IF('K-N-Werte'!H28="keine"," ",'K-N-Werte'!H28))</f>
        <v xml:space="preserve"> </v>
      </c>
      <c r="I33" s="10" t="str">
        <f>IF(ISNUMBER('K-N-Werte'!I28)," ",IF('K-N-Werte'!I28="keine"," ",'K-N-Werte'!I28))</f>
        <v>Zusätzliche kommunale Steuer- und sonstige Erträge</v>
      </c>
      <c r="J33" s="25" t="str">
        <f>IF(ISNUMBER('K-N-Werte'!J28)," ",IF('K-N-Werte'!J28="keine"," ",'K-N-Werte'!J28))</f>
        <v xml:space="preserve"> </v>
      </c>
      <c r="K33" s="10" t="str">
        <f>IF(ISNUMBER('K-N-Werte'!K28)," ",IF('K-N-Werte'!K28="keine"," ",'K-N-Werte'!K28))</f>
        <v xml:space="preserve"> </v>
      </c>
      <c r="L33" s="25" t="str">
        <f>IF(ISNUMBER('K-N-Werte'!L28)," ",IF('K-N-Werte'!L28="keine"," ",'K-N-Werte'!L28))</f>
        <v xml:space="preserve"> </v>
      </c>
      <c r="M33" s="10" t="str">
        <f>IF(ISNUMBER('K-N-Werte'!M28)," ",IF('K-N-Werte'!M28="keine"," ",'K-N-Werte'!M28))</f>
        <v>keine (lediglich Befriedigung wesentlicher Mobilitätsbedürfnisse)</v>
      </c>
      <c r="N33" s="10" t="str">
        <f>IF(ISNUMBER('K-N-Werte'!N28)," ",IF('K-N-Werte'!N28="keine"," ",'K-N-Werte'!N28))</f>
        <v xml:space="preserve"> </v>
      </c>
      <c r="O33" s="10" t="str">
        <f>IF(ISNUMBER('K-N-Werte'!O28)," ",IF('K-N-Werte'!O28="keine"," ",'K-N-Werte'!O28))</f>
        <v>Zusätzliche Aufträge Erhaltung; Unterstützung Mobilitätswende</v>
      </c>
      <c r="Q33" t="str">
        <f>IF(ISNUMBER('K-N-Werte'!Q28)," ",IF('K-N-Werte'!Q28="keine"," ",'K-N-Werte'!Q28))</f>
        <v>nein</v>
      </c>
    </row>
    <row r="34" spans="4:17" ht="32.25" thickBot="1" x14ac:dyDescent="0.3">
      <c r="D34" s="22" t="s">
        <v>152</v>
      </c>
      <c r="E34" s="29" t="s">
        <v>157</v>
      </c>
      <c r="F34" s="31" t="str">
        <f>IF(ISNUMBER('K-N-Werte'!F29)," ",IF('K-N-Werte'!F29="keine"," ",'K-N-Werte'!F29))</f>
        <v xml:space="preserve"> </v>
      </c>
      <c r="G34" s="31" t="str">
        <f>IF(ISNUMBER('K-N-Werte'!G29)," ",IF('K-N-Werte'!G29="keine"," ",'K-N-Werte'!G29))</f>
        <v xml:space="preserve"> </v>
      </c>
      <c r="H34" s="11" t="str">
        <f>IF(ISNUMBER('K-N-Werte'!H29)," ",IF('K-N-Werte'!H29="keine"," ",'K-N-Werte'!H29))</f>
        <v xml:space="preserve"> </v>
      </c>
      <c r="I34" s="11" t="str">
        <f>IF(ISNUMBER('K-N-Werte'!I29)," ",IF('K-N-Werte'!I29="keine"," ",'K-N-Werte'!I29))</f>
        <v>Zusätzliche kommunale Steuer- und sonstige Erträge</v>
      </c>
      <c r="J34" s="11" t="str">
        <f>IF(ISNUMBER('K-N-Werte'!J29)," ",IF('K-N-Werte'!J29="keine"," ",'K-N-Werte'!J29))</f>
        <v xml:space="preserve"> </v>
      </c>
      <c r="K34" s="11" t="str">
        <f>IF(ISNUMBER('K-N-Werte'!K29)," ",IF('K-N-Werte'!K29="keine"," ",'K-N-Werte'!K29))</f>
        <v xml:space="preserve"> </v>
      </c>
      <c r="L34" s="31" t="str">
        <f>IF(ISNUMBER('K-N-Werte'!L29)," ",IF('K-N-Werte'!L29="keine"," ",'K-N-Werte'!L29))</f>
        <v xml:space="preserve"> </v>
      </c>
      <c r="M34" s="11" t="str">
        <f>IF(ISNUMBER('K-N-Werte'!M29)," ",IF('K-N-Werte'!M29="keine"," ",'K-N-Werte'!M29))</f>
        <v>keine (lediglich Gewährleistung von Mobilität)</v>
      </c>
      <c r="N34" s="11" t="str">
        <f>IF(ISNUMBER('K-N-Werte'!N29)," ",IF('K-N-Werte'!N29="keine"," ",'K-N-Werte'!N29))</f>
        <v xml:space="preserve"> </v>
      </c>
      <c r="O34" s="11" t="str">
        <f>IF(ISNUMBER('K-N-Werte'!O29)," ",IF('K-N-Werte'!O29="keine"," ",'K-N-Werte'!O29))</f>
        <v>Zusätzliche Aufträge Bau un Fahrzeuge</v>
      </c>
      <c r="Q34" t="str">
        <f>IF(ISNUMBER('K-N-Werte'!Q29)," ",IF('K-N-Werte'!Q29="keine"," ",'K-N-Werte'!Q29))</f>
        <v>nein</v>
      </c>
    </row>
    <row r="35" spans="4:17" ht="39" thickBot="1" x14ac:dyDescent="0.3">
      <c r="D35" s="22" t="s">
        <v>153</v>
      </c>
      <c r="E35" s="12" t="s">
        <v>43</v>
      </c>
      <c r="F35" s="25" t="str">
        <f>IF(ISNUMBER('K-N-Werte'!F30)," ",IF('K-N-Werte'!F30="keine"," ",'K-N-Werte'!F30))</f>
        <v xml:space="preserve"> </v>
      </c>
      <c r="G35" s="10" t="str">
        <f>IF(ISNUMBER('K-N-Werte'!G30)," ",IF('K-N-Werte'!G30="keine"," ",'K-N-Werte'!G30))</f>
        <v xml:space="preserve"> </v>
      </c>
      <c r="H35" s="10" t="str">
        <f>IF(ISNUMBER('K-N-Werte'!H30)," ",IF('K-N-Werte'!H30="keine"," ",'K-N-Werte'!H30))</f>
        <v xml:space="preserve"> </v>
      </c>
      <c r="I35" s="10" t="str">
        <f>IF(ISNUMBER('K-N-Werte'!I30)," ",IF('K-N-Werte'!I30="keine"," ",'K-N-Werte'!I30))</f>
        <v>Zusätzliche kommunale Steuer- und sonstige Erträge</v>
      </c>
      <c r="J35" s="25" t="str">
        <f>IF(ISNUMBER('K-N-Werte'!J30)," ",IF('K-N-Werte'!J30="keine"," ",'K-N-Werte'!J30))</f>
        <v xml:space="preserve"> </v>
      </c>
      <c r="K35" s="10" t="str">
        <f>IF(ISNUMBER('K-N-Werte'!K30)," ",IF('K-N-Werte'!K30="keine"," ",'K-N-Werte'!K30))</f>
        <v xml:space="preserve"> </v>
      </c>
      <c r="L35" s="25" t="str">
        <f>IF(ISNUMBER('K-N-Werte'!L30)," ",IF('K-N-Werte'!L30="keine"," ",'K-N-Werte'!L30))</f>
        <v xml:space="preserve"> </v>
      </c>
      <c r="M35" s="10" t="str">
        <f>IF(ISNUMBER('K-N-Werte'!M30)," ",IF('K-N-Werte'!M30="keine"," ",'K-N-Werte'!M30))</f>
        <v>keine (lediglich Befriedigung wesentlicher Mobilitätsbedürfnisse)</v>
      </c>
      <c r="N35" s="10" t="str">
        <f>IF(ISNUMBER('K-N-Werte'!N30)," ",IF('K-N-Werte'!N30="keine"," ",'K-N-Werte'!N30))</f>
        <v xml:space="preserve"> </v>
      </c>
      <c r="O35" s="10" t="str">
        <f>IF(ISNUMBER('K-N-Werte'!O30)," ",IF('K-N-Werte'!O30="keine"," ",'K-N-Werte'!O30))</f>
        <v>Zusätzliche Aufträge Erhaltung; Unterstützung Mobilitätswende</v>
      </c>
      <c r="Q35" t="str">
        <f>IF(ISNUMBER('K-N-Werte'!Q30)," ",IF('K-N-Werte'!Q30="keine"," ",'K-N-Werte'!Q30))</f>
        <v>nein</v>
      </c>
    </row>
    <row r="36" spans="4:17" ht="33" thickTop="1" thickBot="1" x14ac:dyDescent="0.3">
      <c r="D36" s="28" t="s">
        <v>158</v>
      </c>
      <c r="E36" s="29" t="s">
        <v>295</v>
      </c>
      <c r="F36" s="31" t="str">
        <f>IF(ISNUMBER('K-N-Werte'!F31)," ",IF('K-N-Werte'!F31="keine"," ",'K-N-Werte'!F31))</f>
        <v xml:space="preserve"> </v>
      </c>
      <c r="G36" s="31" t="str">
        <f>IF(ISNUMBER('K-N-Werte'!G31)," ",IF('K-N-Werte'!G31="keine"," ",'K-N-Werte'!G31))</f>
        <v xml:space="preserve"> </v>
      </c>
      <c r="H36" s="11" t="str">
        <f>IF(ISNUMBER('K-N-Werte'!H31)," ",IF('K-N-Werte'!H31="keine"," ",'K-N-Werte'!H31))</f>
        <v xml:space="preserve"> </v>
      </c>
      <c r="I36" s="11" t="str">
        <f>IF(ISNUMBER('K-N-Werte'!I31)," ",IF('K-N-Werte'!I31="keine"," ",'K-N-Werte'!I31))</f>
        <v>Zusätzliche kommunale Steuer- und sonstige Erträge</v>
      </c>
      <c r="J36" s="11" t="str">
        <f>IF(ISNUMBER('K-N-Werte'!J31)," ",IF('K-N-Werte'!J31="keine"," ",'K-N-Werte'!J31))</f>
        <v xml:space="preserve"> </v>
      </c>
      <c r="K36" s="11" t="str">
        <f>IF(ISNUMBER('K-N-Werte'!K31)," ",IF('K-N-Werte'!K31="keine"," ",'K-N-Werte'!K31))</f>
        <v xml:space="preserve"> </v>
      </c>
      <c r="L36" s="31" t="str">
        <f>IF(ISNUMBER('K-N-Werte'!L31)," ",IF('K-N-Werte'!L31="keine"," ",'K-N-Werte'!L31))</f>
        <v xml:space="preserve"> </v>
      </c>
      <c r="M36" s="11" t="str">
        <f>IF(ISNUMBER('K-N-Werte'!M31)," ",IF('K-N-Werte'!M31="keine"," ",'K-N-Werte'!M31))</f>
        <v>keine (lediglich Gewährleistung von Mobilität)</v>
      </c>
      <c r="N36" s="11" t="str">
        <f>IF(ISNUMBER('K-N-Werte'!N31)," ",IF('K-N-Werte'!N31="keine"," ",'K-N-Werte'!N31))</f>
        <v xml:space="preserve"> </v>
      </c>
      <c r="O36" s="11" t="str">
        <f>IF(ISNUMBER('K-N-Werte'!O31)," ",IF('K-N-Werte'!O31="keine"," ",'K-N-Werte'!O31))</f>
        <v>Zusätzliche Aufträge Bau un Fahrzeuge</v>
      </c>
      <c r="Q36" t="str">
        <f>IF(ISNUMBER('K-N-Werte'!Q31)," ",IF('K-N-Werte'!Q31="keine"," ",'K-N-Werte'!Q31))</f>
        <v>nein</v>
      </c>
    </row>
    <row r="37" spans="4:17" ht="39" thickBot="1" x14ac:dyDescent="0.3">
      <c r="D37" s="22" t="s">
        <v>159</v>
      </c>
      <c r="E37" s="12" t="s">
        <v>43</v>
      </c>
      <c r="F37" s="25" t="str">
        <f>IF(ISNUMBER('K-N-Werte'!F32)," ",IF('K-N-Werte'!F32="keine"," ",'K-N-Werte'!F32))</f>
        <v xml:space="preserve"> </v>
      </c>
      <c r="G37" s="10" t="str">
        <f>IF(ISNUMBER('K-N-Werte'!G32)," ",IF('K-N-Werte'!G32="keine"," ",'K-N-Werte'!G32))</f>
        <v xml:space="preserve"> </v>
      </c>
      <c r="H37" s="10" t="str">
        <f>IF(ISNUMBER('K-N-Werte'!H32)," ",IF('K-N-Werte'!H32="keine"," ",'K-N-Werte'!H32))</f>
        <v xml:space="preserve"> </v>
      </c>
      <c r="I37" s="10" t="str">
        <f>IF(ISNUMBER('K-N-Werte'!I32)," ",IF('K-N-Werte'!I32="keine"," ",'K-N-Werte'!I32))</f>
        <v>Zusätzliche kommunale Steuer- und sonstige Erträge</v>
      </c>
      <c r="J37" s="25" t="str">
        <f>IF(ISNUMBER('K-N-Werte'!J32)," ",IF('K-N-Werte'!J32="keine"," ",'K-N-Werte'!J32))</f>
        <v xml:space="preserve"> </v>
      </c>
      <c r="K37" s="10" t="str">
        <f>IF(ISNUMBER('K-N-Werte'!K32)," ",IF('K-N-Werte'!K32="keine"," ",'K-N-Werte'!K32))</f>
        <v xml:space="preserve"> </v>
      </c>
      <c r="L37" s="25" t="str">
        <f>IF(ISNUMBER('K-N-Werte'!L32)," ",IF('K-N-Werte'!L32="keine"," ",'K-N-Werte'!L32))</f>
        <v xml:space="preserve"> </v>
      </c>
      <c r="M37" s="10" t="str">
        <f>IF(ISNUMBER('K-N-Werte'!M32)," ",IF('K-N-Werte'!M32="keine"," ",'K-N-Werte'!M32))</f>
        <v>keine (lediglich Befriedigung wesentlicher Mobilitätsbedürfnisse)</v>
      </c>
      <c r="N37" s="10" t="str">
        <f>IF(ISNUMBER('K-N-Werte'!N32)," ",IF('K-N-Werte'!N32="keine"," ",'K-N-Werte'!N32))</f>
        <v xml:space="preserve"> </v>
      </c>
      <c r="O37" s="10" t="str">
        <f>IF(ISNUMBER('K-N-Werte'!O32)," ",IF('K-N-Werte'!O32="keine"," ",'K-N-Werte'!O32))</f>
        <v>Zusätzliche Aufträge Erhaltung; Unterstützung Mobilitätswende</v>
      </c>
      <c r="Q37" t="str">
        <f>IF(ISNUMBER('K-N-Werte'!Q32)," ",IF('K-N-Werte'!Q32="keine"," ",'K-N-Werte'!Q32))</f>
        <v>nein</v>
      </c>
    </row>
    <row r="38" spans="4:17" ht="32.25" thickBot="1" x14ac:dyDescent="0.3">
      <c r="D38" s="22" t="s">
        <v>160</v>
      </c>
      <c r="E38" s="29" t="s">
        <v>310</v>
      </c>
      <c r="F38" s="11" t="str">
        <f>IF(ISNUMBER('K-N-Werte'!F33)," ",IF('K-N-Werte'!F33="keine"," ",'K-N-Werte'!F33))</f>
        <v>Zusätzliche Kosten der baulichen Anlagen</v>
      </c>
      <c r="G38" s="11" t="str">
        <f>IF(ISNUMBER('K-N-Werte'!G33)," ",IF('K-N-Werte'!G33="keine"," ",'K-N-Werte'!G33))</f>
        <v xml:space="preserve"> </v>
      </c>
      <c r="H38" s="11" t="str">
        <f>IF(ISNUMBER('K-N-Werte'!H33)," ",IF('K-N-Werte'!H33="keine"," ",'K-N-Werte'!H33))</f>
        <v xml:space="preserve"> </v>
      </c>
      <c r="I38" s="11" t="str">
        <f>IF(ISNUMBER('K-N-Werte'!I33)," ",IF('K-N-Werte'!I33="keine"," ",'K-N-Werte'!I33))</f>
        <v xml:space="preserve"> </v>
      </c>
      <c r="J38" s="11" t="str">
        <f>IF(ISNUMBER('K-N-Werte'!J33)," ",IF('K-N-Werte'!J33="keine"," ",'K-N-Werte'!J33))</f>
        <v xml:space="preserve"> </v>
      </c>
      <c r="K38" s="11" t="str">
        <f>IF(ISNUMBER('K-N-Werte'!K33)," ",IF('K-N-Werte'!K33="keine"," ",'K-N-Werte'!K33))</f>
        <v xml:space="preserve"> </v>
      </c>
      <c r="L38" s="11" t="str">
        <f>IF(ISNUMBER('K-N-Werte'!L33)," ",IF('K-N-Werte'!L33="keine"," ",'K-N-Werte'!L33))</f>
        <v xml:space="preserve"> </v>
      </c>
      <c r="M38" s="11" t="str">
        <f>IF(ISNUMBER('K-N-Werte'!M33)," ",IF('K-N-Werte'!M33="keine"," ",'K-N-Werte'!M33))</f>
        <v>keine (lediglich Gewährleistung von Mobilität)</v>
      </c>
      <c r="N38" s="11" t="str">
        <f>IF(ISNUMBER('K-N-Werte'!N33)," ",IF('K-N-Werte'!N33="keine"," ",'K-N-Werte'!N33))</f>
        <v xml:space="preserve"> </v>
      </c>
      <c r="O38" s="11" t="str">
        <f>IF(ISNUMBER('K-N-Werte'!O33)," ",IF('K-N-Werte'!O33="keine"," ",'K-N-Werte'!O33))</f>
        <v xml:space="preserve"> </v>
      </c>
      <c r="Q38" t="str">
        <f>IF(ISNUMBER('K-N-Werte'!Q33)," ",IF('K-N-Werte'!Q33="keine"," ",'K-N-Werte'!Q33))</f>
        <v>nein</v>
      </c>
    </row>
    <row r="39" spans="4:17" ht="39" thickBot="1" x14ac:dyDescent="0.3">
      <c r="D39" s="22" t="s">
        <v>311</v>
      </c>
      <c r="E39" s="12" t="s">
        <v>312</v>
      </c>
      <c r="F39" s="10" t="str">
        <f>IF(ISNUMBER('K-N-Werte'!F34)," ",IF('K-N-Werte'!F34="keine"," ",'K-N-Werte'!F34))</f>
        <v>Zusätzliche laufende Kosten</v>
      </c>
      <c r="G39" s="10" t="str">
        <f>IF(ISNUMBER('K-N-Werte'!G34)," ",IF('K-N-Werte'!G34="keine"," ",'K-N-Werte'!G34))</f>
        <v xml:space="preserve"> </v>
      </c>
      <c r="H39" s="10" t="str">
        <f>IF(ISNUMBER('K-N-Werte'!H34)," ",IF('K-N-Werte'!H34="keine"," ",'K-N-Werte'!H34))</f>
        <v xml:space="preserve"> </v>
      </c>
      <c r="I39" s="10" t="str">
        <f>IF(ISNUMBER('K-N-Werte'!I34)," ",IF('K-N-Werte'!I34="keine"," ",'K-N-Werte'!I34))</f>
        <v xml:space="preserve"> </v>
      </c>
      <c r="J39" s="10" t="str">
        <f>IF(ISNUMBER('K-N-Werte'!J34)," ",IF('K-N-Werte'!J34="keine"," ",'K-N-Werte'!J34))</f>
        <v xml:space="preserve"> </v>
      </c>
      <c r="K39" s="10" t="str">
        <f>IF(ISNUMBER('K-N-Werte'!K34)," ",IF('K-N-Werte'!K34="keine"," ",'K-N-Werte'!K34))</f>
        <v xml:space="preserve"> </v>
      </c>
      <c r="L39" s="10" t="str">
        <f>IF(ISNUMBER('K-N-Werte'!L34)," ",IF('K-N-Werte'!L34="keine"," ",'K-N-Werte'!L34))</f>
        <v xml:space="preserve"> </v>
      </c>
      <c r="M39" s="10" t="str">
        <f>IF(ISNUMBER('K-N-Werte'!M34)," ",IF('K-N-Werte'!M34="keine"," ",'K-N-Werte'!M34))</f>
        <v>keine (lediglich Befriedigung wesentlicher Mobilitätsbedürfnisse)</v>
      </c>
      <c r="N39" s="10" t="str">
        <f>IF(ISNUMBER('K-N-Werte'!N34)," ",IF('K-N-Werte'!N34="keine"," ",'K-N-Werte'!N34))</f>
        <v xml:space="preserve"> </v>
      </c>
      <c r="O39" s="10" t="str">
        <f>IF(ISNUMBER('K-N-Werte'!O34)," ",IF('K-N-Werte'!O34="keine"," ",'K-N-Werte'!O34))</f>
        <v>Unterstützung Mobilitätswende</v>
      </c>
      <c r="Q39" t="str">
        <f>IF(ISNUMBER('K-N-Werte'!Q34)," ",IF('K-N-Werte'!Q34="keine"," ",'K-N-Werte'!Q34))</f>
        <v>nein</v>
      </c>
    </row>
    <row r="40" spans="4:17" ht="48" thickBot="1" x14ac:dyDescent="0.3">
      <c r="D40" s="4" t="s">
        <v>343</v>
      </c>
      <c r="E40" s="6" t="s">
        <v>342</v>
      </c>
      <c r="F40" s="11" t="str">
        <f>IF(ISNUMBER('K-N-Werte'!F35)," ",IF('K-N-Werte'!F35="keine"," ",'K-N-Werte'!F35))</f>
        <v xml:space="preserve"> </v>
      </c>
      <c r="G40" s="11" t="str">
        <f>IF(ISNUMBER('K-N-Werte'!G35)," ",IF('K-N-Werte'!G35="keine"," ",'K-N-Werte'!G35))</f>
        <v xml:space="preserve"> </v>
      </c>
      <c r="H40" s="11" t="str">
        <f>IF(ISNUMBER('K-N-Werte'!H35)," ",IF('K-N-Werte'!H35="keine"," ",'K-N-Werte'!H35))</f>
        <v xml:space="preserve"> </v>
      </c>
      <c r="I40" s="11" t="str">
        <f>IF(ISNUMBER('K-N-Werte'!I35)," ",IF('K-N-Werte'!I35="keine"," ",'K-N-Werte'!I35))</f>
        <v xml:space="preserve"> </v>
      </c>
      <c r="J40" s="11" t="str">
        <f>IF(ISNUMBER('K-N-Werte'!J35)," ",IF('K-N-Werte'!J35="keine"," ",'K-N-Werte'!J35))</f>
        <v xml:space="preserve"> </v>
      </c>
      <c r="K40" s="11" t="str">
        <f>IF(ISNUMBER('K-N-Werte'!K35)," ",IF('K-N-Werte'!K35="keine"," ",'K-N-Werte'!K35))</f>
        <v xml:space="preserve"> </v>
      </c>
      <c r="L40" s="11" t="str">
        <f>IF(ISNUMBER('K-N-Werte'!L35)," ",IF('K-N-Werte'!L35="keine"," ",'K-N-Werte'!L35))</f>
        <v xml:space="preserve"> </v>
      </c>
      <c r="M40" s="11" t="str">
        <f>IF(ISNUMBER('K-N-Werte'!M35)," ",IF('K-N-Werte'!M35="keine"," ",'K-N-Werte'!M35))</f>
        <v xml:space="preserve"> </v>
      </c>
      <c r="N40" s="11" t="str">
        <f>IF(ISNUMBER('K-N-Werte'!N35)," ",IF('K-N-Werte'!N35="keine"," ",'K-N-Werte'!N35))</f>
        <v xml:space="preserve"> </v>
      </c>
      <c r="O40" s="11" t="str">
        <f>IF(ISNUMBER('K-N-Werte'!O35)," ",IF('K-N-Werte'!O35="keine"," ",'K-N-Werte'!O35))</f>
        <v xml:space="preserve"> </v>
      </c>
      <c r="Q40" t="str">
        <f>IF(ISNUMBER('K-N-Werte'!Q35)," ",IF('K-N-Werte'!Q35="keine"," ",'K-N-Werte'!Q35))</f>
        <v>nein</v>
      </c>
    </row>
    <row r="42" spans="4:17" s="43" customFormat="1" x14ac:dyDescent="0.25">
      <c r="F42" s="44"/>
      <c r="G42" s="44"/>
      <c r="H42" s="44"/>
      <c r="I42" s="44"/>
      <c r="J42" s="44"/>
      <c r="K42" s="44"/>
      <c r="L42" s="44"/>
      <c r="M42" s="44"/>
      <c r="N42" s="44"/>
      <c r="O42" s="44"/>
    </row>
    <row r="43" spans="4:17" s="43" customFormat="1" x14ac:dyDescent="0.25">
      <c r="F43" s="44"/>
      <c r="G43" s="44"/>
      <c r="H43" s="44"/>
      <c r="I43" s="44"/>
      <c r="J43" s="44"/>
      <c r="K43" s="44"/>
      <c r="L43" s="44"/>
      <c r="M43" s="44"/>
      <c r="N43" s="44"/>
      <c r="O43" s="44"/>
    </row>
  </sheetData>
  <sheetProtection password="EF29" sheet="1" objects="1" scenarios="1" autoFilter="0"/>
  <autoFilter ref="D15:Q40"/>
  <mergeCells count="5">
    <mergeCell ref="F9:G9"/>
    <mergeCell ref="H9:I9"/>
    <mergeCell ref="J9:K9"/>
    <mergeCell ref="L9:M9"/>
    <mergeCell ref="N9:O9"/>
  </mergeCells>
  <pageMargins left="0.11811023622047245" right="0.11811023622047245" top="0.59055118110236227" bottom="0.59055118110236227" header="0.31496062992125984" footer="0.31496062992125984"/>
  <pageSetup paperSize="8" scale="75" fitToWidth="2" orientation="landscape" r:id="rId1"/>
  <headerFooter>
    <oddHeader xml:space="preserve">&amp;L&amp;"Arial Narrow,Standard"&amp;10Projekt: Wohnen und Mobilität – Mobilitätskonzepte im Quartier
Im Auftrag des Bayerisches Staatsministerium für Wohnen Bau und Verkehr
Referat 36 – Städtebauförderung
&amp;R&amp;"Arial Narrow,Standard"&amp;10Kosten-Nutzen-Analyse
</oddHeader>
    <oddFooter>&amp;L&amp;"Arial Narrow,Standard"&amp;10Deutsches Institut für Urbanistik
2021&amp;R&amp;"Arial Narrow,Standard"&amp;10&amp;F, &amp;A
Seite &amp;P von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3:O36"/>
  <sheetViews>
    <sheetView showGridLines="0" zoomScale="90" zoomScaleNormal="90" zoomScaleSheetLayoutView="70" zoomScalePageLayoutView="50" workbookViewId="0">
      <selection activeCell="J16" sqref="J16"/>
    </sheetView>
  </sheetViews>
  <sheetFormatPr baseColWidth="10" defaultRowHeight="15" x14ac:dyDescent="0.25"/>
  <cols>
    <col min="3" max="3" width="5.85546875" customWidth="1"/>
    <col min="4" max="5" width="31.42578125" customWidth="1"/>
    <col min="6" max="15" width="21.28515625" customWidth="1"/>
  </cols>
  <sheetData>
    <row r="3" spans="3:15" ht="15.75" x14ac:dyDescent="0.25">
      <c r="D3" s="18" t="s">
        <v>94</v>
      </c>
      <c r="F3" t="str">
        <f>+Eingaben!K3</f>
        <v>Beispiel</v>
      </c>
    </row>
    <row r="5" spans="3:15" ht="15.75" x14ac:dyDescent="0.25">
      <c r="F5" s="16" t="s">
        <v>80</v>
      </c>
    </row>
    <row r="6" spans="3:15" ht="15.75" x14ac:dyDescent="0.25">
      <c r="F6" s="16" t="s">
        <v>95</v>
      </c>
      <c r="M6" s="57"/>
    </row>
    <row r="7" spans="3:15" ht="15.75" x14ac:dyDescent="0.25">
      <c r="F7" s="16" t="s">
        <v>93</v>
      </c>
    </row>
    <row r="8" spans="3:15" ht="15.75" thickBot="1" x14ac:dyDescent="0.3"/>
    <row r="9" spans="3:15" ht="68.25" customHeight="1" thickBot="1" x14ac:dyDescent="0.3">
      <c r="C9" t="s">
        <v>319</v>
      </c>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48.75" thickTop="1" thickBot="1" x14ac:dyDescent="0.3">
      <c r="C11" s="49"/>
      <c r="D11" s="2" t="s">
        <v>19</v>
      </c>
      <c r="E11" s="3" t="s">
        <v>18</v>
      </c>
      <c r="F11" s="13" t="s">
        <v>48</v>
      </c>
      <c r="G11" s="13" t="s">
        <v>69</v>
      </c>
      <c r="H11" s="9" t="s">
        <v>29</v>
      </c>
      <c r="I11" s="9" t="s">
        <v>29</v>
      </c>
      <c r="J11" s="9" t="s">
        <v>29</v>
      </c>
      <c r="K11" s="9" t="s">
        <v>29</v>
      </c>
      <c r="L11" s="9" t="s">
        <v>53</v>
      </c>
      <c r="M11" s="13" t="s">
        <v>30</v>
      </c>
      <c r="N11" s="9" t="s">
        <v>34</v>
      </c>
      <c r="O11" s="9" t="s">
        <v>29</v>
      </c>
    </row>
    <row r="12" spans="3:15" ht="51.75" thickBot="1" x14ac:dyDescent="0.3">
      <c r="C12" s="49"/>
      <c r="D12" s="22" t="s">
        <v>31</v>
      </c>
      <c r="E12" s="5" t="s">
        <v>32</v>
      </c>
      <c r="F12" s="14" t="s">
        <v>70</v>
      </c>
      <c r="G12" s="14" t="s">
        <v>35</v>
      </c>
      <c r="H12" s="10" t="s">
        <v>29</v>
      </c>
      <c r="I12" s="10" t="s">
        <v>37</v>
      </c>
      <c r="J12" s="10" t="s">
        <v>29</v>
      </c>
      <c r="K12" s="10" t="s">
        <v>29</v>
      </c>
      <c r="L12" s="14" t="s">
        <v>35</v>
      </c>
      <c r="M12" s="10" t="s">
        <v>36</v>
      </c>
      <c r="N12" s="10" t="s">
        <v>29</v>
      </c>
      <c r="O12" s="10" t="s">
        <v>38</v>
      </c>
    </row>
    <row r="13" spans="3:15" ht="103.5" thickTop="1" thickBot="1" x14ac:dyDescent="0.3">
      <c r="C13" s="49"/>
      <c r="D13" s="2" t="s">
        <v>23</v>
      </c>
      <c r="E13" s="3" t="s">
        <v>33</v>
      </c>
      <c r="F13" s="32" t="s">
        <v>313</v>
      </c>
      <c r="G13" s="13" t="s">
        <v>72</v>
      </c>
      <c r="H13" s="9" t="s">
        <v>29</v>
      </c>
      <c r="I13" s="9" t="s">
        <v>29</v>
      </c>
      <c r="J13" s="9" t="s">
        <v>29</v>
      </c>
      <c r="K13" s="9" t="s">
        <v>29</v>
      </c>
      <c r="L13" s="9" t="s">
        <v>40</v>
      </c>
      <c r="M13" s="13" t="s">
        <v>41</v>
      </c>
      <c r="N13" s="9" t="s">
        <v>29</v>
      </c>
      <c r="O13" s="9" t="s">
        <v>42</v>
      </c>
    </row>
    <row r="14" spans="3:15" ht="48" thickBot="1" x14ac:dyDescent="0.3">
      <c r="C14" s="49"/>
      <c r="D14" s="4" t="s">
        <v>26</v>
      </c>
      <c r="E14" s="12" t="s">
        <v>43</v>
      </c>
      <c r="F14" s="14" t="s">
        <v>44</v>
      </c>
      <c r="G14" s="14" t="s">
        <v>45</v>
      </c>
      <c r="H14" s="10" t="s">
        <v>29</v>
      </c>
      <c r="I14" s="10" t="s">
        <v>39</v>
      </c>
      <c r="J14" s="10" t="s">
        <v>29</v>
      </c>
      <c r="K14" s="10" t="s">
        <v>29</v>
      </c>
      <c r="L14" s="14" t="s">
        <v>46</v>
      </c>
      <c r="M14" s="33" t="s">
        <v>149</v>
      </c>
      <c r="N14" s="10" t="s">
        <v>29</v>
      </c>
      <c r="O14" s="10" t="s">
        <v>47</v>
      </c>
    </row>
    <row r="15" spans="3:15" ht="39.75" thickTop="1" thickBot="1" x14ac:dyDescent="0.3">
      <c r="C15" s="49"/>
      <c r="D15" s="28" t="s">
        <v>154</v>
      </c>
      <c r="E15" s="3" t="s">
        <v>243</v>
      </c>
      <c r="F15" s="13" t="s">
        <v>81</v>
      </c>
      <c r="G15" s="13" t="s">
        <v>75</v>
      </c>
      <c r="H15" s="9" t="s">
        <v>29</v>
      </c>
      <c r="I15" s="9" t="s">
        <v>29</v>
      </c>
      <c r="J15" s="9" t="s">
        <v>29</v>
      </c>
      <c r="K15" s="9" t="s">
        <v>29</v>
      </c>
      <c r="L15" s="13" t="s">
        <v>173</v>
      </c>
      <c r="M15" s="9" t="s">
        <v>78</v>
      </c>
      <c r="N15" s="9" t="s">
        <v>51</v>
      </c>
      <c r="O15" s="9" t="s">
        <v>42</v>
      </c>
    </row>
    <row r="16" spans="3:15" ht="39" thickBot="1" x14ac:dyDescent="0.3">
      <c r="C16" s="49"/>
      <c r="D16" s="22" t="s">
        <v>155</v>
      </c>
      <c r="E16" s="12" t="s">
        <v>43</v>
      </c>
      <c r="F16" s="14" t="s">
        <v>44</v>
      </c>
      <c r="G16" s="10" t="s">
        <v>29</v>
      </c>
      <c r="H16" s="10" t="s">
        <v>29</v>
      </c>
      <c r="I16" s="10" t="s">
        <v>29</v>
      </c>
      <c r="J16" s="10" t="s">
        <v>29</v>
      </c>
      <c r="K16" s="10" t="s">
        <v>29</v>
      </c>
      <c r="L16" s="10" t="s">
        <v>29</v>
      </c>
      <c r="M16" s="10" t="s">
        <v>77</v>
      </c>
      <c r="N16" s="10" t="s">
        <v>29</v>
      </c>
      <c r="O16" s="10" t="s">
        <v>52</v>
      </c>
    </row>
    <row r="17" spans="3:15" ht="52.5" thickTop="1" thickBot="1" x14ac:dyDescent="0.3">
      <c r="C17" s="49"/>
      <c r="D17" s="2" t="s">
        <v>20</v>
      </c>
      <c r="E17" s="3" t="s">
        <v>21</v>
      </c>
      <c r="F17" s="9" t="s">
        <v>29</v>
      </c>
      <c r="G17" s="13" t="s">
        <v>49</v>
      </c>
      <c r="H17" s="13" t="s">
        <v>71</v>
      </c>
      <c r="I17" s="9" t="s">
        <v>29</v>
      </c>
      <c r="J17" s="9" t="s">
        <v>29</v>
      </c>
      <c r="K17" s="9" t="s">
        <v>29</v>
      </c>
      <c r="L17" s="9" t="s">
        <v>29</v>
      </c>
      <c r="M17" s="9" t="s">
        <v>29</v>
      </c>
      <c r="N17" s="9" t="s">
        <v>51</v>
      </c>
      <c r="O17" s="9" t="s">
        <v>42</v>
      </c>
    </row>
    <row r="18" spans="3:15" ht="51.75" thickBot="1" x14ac:dyDescent="0.3">
      <c r="C18" s="49"/>
      <c r="D18" s="4" t="s">
        <v>22</v>
      </c>
      <c r="E18" s="12" t="s">
        <v>43</v>
      </c>
      <c r="F18" s="10" t="s">
        <v>29</v>
      </c>
      <c r="G18" s="10" t="s">
        <v>29</v>
      </c>
      <c r="H18" s="14" t="s">
        <v>44</v>
      </c>
      <c r="I18" s="14" t="s">
        <v>50</v>
      </c>
      <c r="J18" s="10" t="s">
        <v>29</v>
      </c>
      <c r="K18" s="10" t="s">
        <v>29</v>
      </c>
      <c r="L18" s="10" t="s">
        <v>90</v>
      </c>
      <c r="M18" s="10" t="s">
        <v>77</v>
      </c>
      <c r="N18" s="10" t="s">
        <v>29</v>
      </c>
      <c r="O18" s="10" t="s">
        <v>52</v>
      </c>
    </row>
    <row r="19" spans="3:15" ht="52.5" thickTop="1" thickBot="1" x14ac:dyDescent="0.3">
      <c r="C19" s="49"/>
      <c r="D19" s="2" t="s">
        <v>14</v>
      </c>
      <c r="E19" s="3" t="s">
        <v>16</v>
      </c>
      <c r="F19" s="9" t="s">
        <v>29</v>
      </c>
      <c r="G19" s="9" t="s">
        <v>29</v>
      </c>
      <c r="H19" s="9" t="s">
        <v>54</v>
      </c>
      <c r="I19" s="9" t="s">
        <v>55</v>
      </c>
      <c r="J19" s="9" t="s">
        <v>29</v>
      </c>
      <c r="K19" s="9" t="s">
        <v>56</v>
      </c>
      <c r="L19" s="13" t="s">
        <v>57</v>
      </c>
      <c r="M19" s="13" t="s">
        <v>58</v>
      </c>
      <c r="N19" s="9" t="s">
        <v>60</v>
      </c>
      <c r="O19" s="9" t="s">
        <v>59</v>
      </c>
    </row>
    <row r="20" spans="3:15" ht="26.25" thickBot="1" x14ac:dyDescent="0.3">
      <c r="C20" s="49"/>
      <c r="D20" s="4" t="s">
        <v>15</v>
      </c>
      <c r="E20" s="5" t="s">
        <v>17</v>
      </c>
      <c r="F20" s="10" t="s">
        <v>29</v>
      </c>
      <c r="G20" s="10" t="s">
        <v>29</v>
      </c>
      <c r="H20" s="10" t="s">
        <v>29</v>
      </c>
      <c r="I20" s="10" t="s">
        <v>29</v>
      </c>
      <c r="J20" s="10" t="s">
        <v>29</v>
      </c>
      <c r="K20" s="10" t="s">
        <v>29</v>
      </c>
      <c r="L20" s="10" t="s">
        <v>29</v>
      </c>
      <c r="M20" s="14" t="s">
        <v>64</v>
      </c>
      <c r="N20" s="10" t="s">
        <v>61</v>
      </c>
      <c r="O20" s="10" t="s">
        <v>62</v>
      </c>
    </row>
    <row r="21" spans="3:15" ht="52.5" thickTop="1" thickBot="1" x14ac:dyDescent="0.3">
      <c r="C21" s="49"/>
      <c r="D21" s="2" t="s">
        <v>4</v>
      </c>
      <c r="E21" s="3" t="s">
        <v>5</v>
      </c>
      <c r="F21" s="9" t="s">
        <v>29</v>
      </c>
      <c r="G21" s="13" t="s">
        <v>63</v>
      </c>
      <c r="H21" s="13" t="s">
        <v>73</v>
      </c>
      <c r="I21" s="9" t="s">
        <v>29</v>
      </c>
      <c r="J21" s="13" t="s">
        <v>73</v>
      </c>
      <c r="K21" s="9" t="s">
        <v>88</v>
      </c>
      <c r="L21" s="13" t="s">
        <v>63</v>
      </c>
      <c r="M21" s="9" t="s">
        <v>29</v>
      </c>
      <c r="N21" s="9" t="s">
        <v>68</v>
      </c>
      <c r="O21" s="9" t="s">
        <v>42</v>
      </c>
    </row>
    <row r="22" spans="3:15" ht="51.75" thickBot="1" x14ac:dyDescent="0.3">
      <c r="C22" s="49"/>
      <c r="D22" s="4" t="s">
        <v>6</v>
      </c>
      <c r="E22" s="5" t="s">
        <v>7</v>
      </c>
      <c r="F22" s="10" t="s">
        <v>29</v>
      </c>
      <c r="G22" s="10" t="s">
        <v>29</v>
      </c>
      <c r="H22" s="10" t="s">
        <v>65</v>
      </c>
      <c r="I22" s="10" t="s">
        <v>66</v>
      </c>
      <c r="J22" s="14" t="s">
        <v>44</v>
      </c>
      <c r="K22" s="10" t="s">
        <v>89</v>
      </c>
      <c r="L22" s="10" t="s">
        <v>29</v>
      </c>
      <c r="M22" s="10" t="s">
        <v>29</v>
      </c>
      <c r="N22" s="10" t="s">
        <v>29</v>
      </c>
      <c r="O22" s="10" t="s">
        <v>67</v>
      </c>
    </row>
    <row r="23" spans="3:15" ht="39.75" thickTop="1" thickBot="1" x14ac:dyDescent="0.3">
      <c r="C23" s="49"/>
      <c r="D23" s="2" t="s">
        <v>8</v>
      </c>
      <c r="E23" s="3" t="s">
        <v>9</v>
      </c>
      <c r="F23" s="13" t="s">
        <v>74</v>
      </c>
      <c r="G23" s="13" t="s">
        <v>75</v>
      </c>
      <c r="H23" s="9" t="s">
        <v>29</v>
      </c>
      <c r="I23" s="9" t="s">
        <v>29</v>
      </c>
      <c r="J23" s="9" t="s">
        <v>29</v>
      </c>
      <c r="K23" s="13" t="s">
        <v>534</v>
      </c>
      <c r="L23" s="13" t="s">
        <v>75</v>
      </c>
      <c r="M23" s="9" t="s">
        <v>78</v>
      </c>
      <c r="N23" s="9" t="s">
        <v>29</v>
      </c>
      <c r="O23" s="9" t="s">
        <v>62</v>
      </c>
    </row>
    <row r="24" spans="3:15" ht="51.75" thickBot="1" x14ac:dyDescent="0.3">
      <c r="C24" s="49"/>
      <c r="D24" s="4" t="s">
        <v>24</v>
      </c>
      <c r="E24" s="12" t="s">
        <v>43</v>
      </c>
      <c r="F24" s="10" t="s">
        <v>29</v>
      </c>
      <c r="G24" s="10" t="s">
        <v>29</v>
      </c>
      <c r="H24" s="10" t="s">
        <v>29</v>
      </c>
      <c r="I24" s="10" t="s">
        <v>29</v>
      </c>
      <c r="J24" s="14" t="s">
        <v>44</v>
      </c>
      <c r="K24" s="10" t="s">
        <v>76</v>
      </c>
      <c r="L24" s="10" t="s">
        <v>91</v>
      </c>
      <c r="M24" s="10" t="s">
        <v>79</v>
      </c>
      <c r="N24" s="10" t="s">
        <v>29</v>
      </c>
      <c r="O24" s="10" t="s">
        <v>62</v>
      </c>
    </row>
    <row r="25" spans="3:15" ht="39.75" thickTop="1" thickBot="1" x14ac:dyDescent="0.3">
      <c r="C25" s="49"/>
      <c r="D25" s="2" t="s">
        <v>10</v>
      </c>
      <c r="E25" s="3" t="s">
        <v>11</v>
      </c>
      <c r="F25" s="13" t="s">
        <v>81</v>
      </c>
      <c r="G25" s="13" t="s">
        <v>75</v>
      </c>
      <c r="H25" s="9" t="s">
        <v>29</v>
      </c>
      <c r="I25" s="9" t="s">
        <v>82</v>
      </c>
      <c r="J25" s="9" t="s">
        <v>29</v>
      </c>
      <c r="K25" s="9" t="s">
        <v>29</v>
      </c>
      <c r="L25" s="13" t="s">
        <v>75</v>
      </c>
      <c r="M25" s="9" t="s">
        <v>78</v>
      </c>
      <c r="N25" s="9" t="s">
        <v>29</v>
      </c>
      <c r="O25" s="9" t="s">
        <v>85</v>
      </c>
    </row>
    <row r="26" spans="3:15" ht="51.75" thickBot="1" x14ac:dyDescent="0.3">
      <c r="C26" s="49"/>
      <c r="D26" s="4" t="s">
        <v>25</v>
      </c>
      <c r="E26" s="12" t="s">
        <v>43</v>
      </c>
      <c r="F26" s="14" t="s">
        <v>83</v>
      </c>
      <c r="G26" s="10" t="s">
        <v>29</v>
      </c>
      <c r="H26" s="10" t="s">
        <v>267</v>
      </c>
      <c r="I26" s="10" t="s">
        <v>82</v>
      </c>
      <c r="J26" s="14" t="s">
        <v>87</v>
      </c>
      <c r="K26" s="10" t="s">
        <v>29</v>
      </c>
      <c r="L26" s="14" t="s">
        <v>84</v>
      </c>
      <c r="M26" s="10" t="s">
        <v>79</v>
      </c>
      <c r="N26" s="10" t="s">
        <v>29</v>
      </c>
      <c r="O26" s="10" t="s">
        <v>314</v>
      </c>
    </row>
    <row r="27" spans="3:15" ht="39" thickBot="1" x14ac:dyDescent="0.3">
      <c r="C27" s="49"/>
      <c r="D27" s="22" t="s">
        <v>150</v>
      </c>
      <c r="E27" s="29" t="s">
        <v>156</v>
      </c>
      <c r="F27" s="15" t="s">
        <v>81</v>
      </c>
      <c r="G27" s="15" t="s">
        <v>75</v>
      </c>
      <c r="H27" s="11" t="s">
        <v>86</v>
      </c>
      <c r="I27" s="11" t="s">
        <v>82</v>
      </c>
      <c r="J27" s="11" t="s">
        <v>29</v>
      </c>
      <c r="K27" s="11" t="s">
        <v>29</v>
      </c>
      <c r="L27" s="15" t="s">
        <v>75</v>
      </c>
      <c r="M27" s="11" t="s">
        <v>78</v>
      </c>
      <c r="N27" s="11" t="s">
        <v>29</v>
      </c>
      <c r="O27" s="11" t="s">
        <v>85</v>
      </c>
    </row>
    <row r="28" spans="3:15" ht="51.75" thickBot="1" x14ac:dyDescent="0.3">
      <c r="C28" s="49"/>
      <c r="D28" s="22" t="s">
        <v>151</v>
      </c>
      <c r="E28" s="12" t="s">
        <v>43</v>
      </c>
      <c r="F28" s="14" t="s">
        <v>83</v>
      </c>
      <c r="G28" s="10" t="s">
        <v>29</v>
      </c>
      <c r="H28" s="10" t="s">
        <v>299</v>
      </c>
      <c r="I28" s="10" t="s">
        <v>82</v>
      </c>
      <c r="J28" s="14" t="s">
        <v>87</v>
      </c>
      <c r="K28" s="10" t="s">
        <v>29</v>
      </c>
      <c r="L28" s="14" t="s">
        <v>84</v>
      </c>
      <c r="M28" s="10" t="s">
        <v>79</v>
      </c>
      <c r="N28" s="10" t="s">
        <v>29</v>
      </c>
      <c r="O28" s="10" t="s">
        <v>314</v>
      </c>
    </row>
    <row r="29" spans="3:15" ht="39" thickBot="1" x14ac:dyDescent="0.3">
      <c r="C29" s="49"/>
      <c r="D29" s="22" t="s">
        <v>152</v>
      </c>
      <c r="E29" s="29" t="s">
        <v>157</v>
      </c>
      <c r="F29" s="15" t="s">
        <v>81</v>
      </c>
      <c r="G29" s="15" t="s">
        <v>75</v>
      </c>
      <c r="H29" s="11" t="s">
        <v>86</v>
      </c>
      <c r="I29" s="11" t="s">
        <v>82</v>
      </c>
      <c r="J29" s="11" t="s">
        <v>29</v>
      </c>
      <c r="K29" s="11" t="s">
        <v>29</v>
      </c>
      <c r="L29" s="15" t="s">
        <v>75</v>
      </c>
      <c r="M29" s="11" t="s">
        <v>78</v>
      </c>
      <c r="N29" s="11" t="s">
        <v>29</v>
      </c>
      <c r="O29" s="11" t="s">
        <v>85</v>
      </c>
    </row>
    <row r="30" spans="3:15" ht="51.75" thickBot="1" x14ac:dyDescent="0.3">
      <c r="C30" s="49"/>
      <c r="D30" s="22" t="s">
        <v>153</v>
      </c>
      <c r="E30" s="12" t="s">
        <v>43</v>
      </c>
      <c r="F30" s="14" t="s">
        <v>83</v>
      </c>
      <c r="G30" s="10" t="s">
        <v>29</v>
      </c>
      <c r="H30" s="10" t="s">
        <v>299</v>
      </c>
      <c r="I30" s="10" t="s">
        <v>82</v>
      </c>
      <c r="J30" s="14" t="s">
        <v>87</v>
      </c>
      <c r="K30" s="10" t="s">
        <v>29</v>
      </c>
      <c r="L30" s="14" t="s">
        <v>84</v>
      </c>
      <c r="M30" s="10" t="s">
        <v>79</v>
      </c>
      <c r="N30" s="10" t="s">
        <v>29</v>
      </c>
      <c r="O30" s="10" t="s">
        <v>314</v>
      </c>
    </row>
    <row r="31" spans="3:15" ht="33" thickTop="1" thickBot="1" x14ac:dyDescent="0.3">
      <c r="C31" s="49"/>
      <c r="D31" s="28" t="s">
        <v>158</v>
      </c>
      <c r="E31" s="29" t="s">
        <v>295</v>
      </c>
      <c r="F31" s="15" t="s">
        <v>71</v>
      </c>
      <c r="G31" s="15" t="s">
        <v>75</v>
      </c>
      <c r="H31" s="11" t="s">
        <v>29</v>
      </c>
      <c r="I31" s="11" t="s">
        <v>82</v>
      </c>
      <c r="J31" s="11" t="s">
        <v>29</v>
      </c>
      <c r="K31" s="11" t="s">
        <v>29</v>
      </c>
      <c r="L31" s="15" t="s">
        <v>75</v>
      </c>
      <c r="M31" s="11" t="s">
        <v>78</v>
      </c>
      <c r="N31" s="11" t="s">
        <v>29</v>
      </c>
      <c r="O31" s="11" t="s">
        <v>85</v>
      </c>
    </row>
    <row r="32" spans="3:15" ht="51.75" thickBot="1" x14ac:dyDescent="0.3">
      <c r="C32" s="49"/>
      <c r="D32" s="22" t="s">
        <v>159</v>
      </c>
      <c r="E32" s="12" t="s">
        <v>43</v>
      </c>
      <c r="F32" s="14" t="s">
        <v>296</v>
      </c>
      <c r="G32" s="10" t="s">
        <v>29</v>
      </c>
      <c r="H32" s="10" t="s">
        <v>29</v>
      </c>
      <c r="I32" s="10" t="s">
        <v>82</v>
      </c>
      <c r="J32" s="14" t="s">
        <v>87</v>
      </c>
      <c r="K32" s="10" t="s">
        <v>29</v>
      </c>
      <c r="L32" s="14" t="s">
        <v>84</v>
      </c>
      <c r="M32" s="10" t="s">
        <v>79</v>
      </c>
      <c r="N32" s="10" t="s">
        <v>29</v>
      </c>
      <c r="O32" s="10" t="s">
        <v>314</v>
      </c>
    </row>
    <row r="33" spans="3:15" ht="32.25" thickBot="1" x14ac:dyDescent="0.3">
      <c r="C33" s="49"/>
      <c r="D33" s="22" t="s">
        <v>160</v>
      </c>
      <c r="E33" s="29" t="s">
        <v>310</v>
      </c>
      <c r="F33" s="11" t="s">
        <v>71</v>
      </c>
      <c r="G33" s="11" t="s">
        <v>29</v>
      </c>
      <c r="H33" s="11" t="s">
        <v>29</v>
      </c>
      <c r="I33" s="11" t="s">
        <v>29</v>
      </c>
      <c r="J33" s="11" t="s">
        <v>29</v>
      </c>
      <c r="K33" s="11" t="s">
        <v>29</v>
      </c>
      <c r="L33" s="11" t="s">
        <v>29</v>
      </c>
      <c r="M33" s="11" t="s">
        <v>78</v>
      </c>
      <c r="N33" s="11" t="s">
        <v>29</v>
      </c>
      <c r="O33" s="11" t="s">
        <v>29</v>
      </c>
    </row>
    <row r="34" spans="3:15" ht="39" thickBot="1" x14ac:dyDescent="0.3">
      <c r="C34" s="49"/>
      <c r="D34" s="22" t="s">
        <v>311</v>
      </c>
      <c r="E34" s="12" t="s">
        <v>312</v>
      </c>
      <c r="F34" s="10" t="s">
        <v>44</v>
      </c>
      <c r="G34" s="10" t="s">
        <v>29</v>
      </c>
      <c r="H34" s="10" t="s">
        <v>29</v>
      </c>
      <c r="I34" s="10" t="s">
        <v>29</v>
      </c>
      <c r="J34" s="10" t="s">
        <v>29</v>
      </c>
      <c r="K34" s="10" t="s">
        <v>29</v>
      </c>
      <c r="L34" s="10" t="s">
        <v>29</v>
      </c>
      <c r="M34" s="10" t="s">
        <v>79</v>
      </c>
      <c r="N34" s="10" t="s">
        <v>29</v>
      </c>
      <c r="O34" s="10" t="s">
        <v>62</v>
      </c>
    </row>
    <row r="35" spans="3:15" ht="48" thickBot="1" x14ac:dyDescent="0.3">
      <c r="C35" s="49"/>
      <c r="D35" s="4" t="s">
        <v>343</v>
      </c>
      <c r="E35" s="6" t="s">
        <v>342</v>
      </c>
      <c r="F35" s="15" t="s">
        <v>344</v>
      </c>
      <c r="G35" s="56" t="s">
        <v>29</v>
      </c>
      <c r="H35" s="15" t="s">
        <v>345</v>
      </c>
      <c r="I35" s="56" t="s">
        <v>29</v>
      </c>
      <c r="J35" s="56" t="s">
        <v>29</v>
      </c>
      <c r="K35" s="56" t="s">
        <v>29</v>
      </c>
      <c r="L35" s="56" t="s">
        <v>29</v>
      </c>
      <c r="M35" s="56" t="s">
        <v>29</v>
      </c>
      <c r="N35" s="56" t="s">
        <v>29</v>
      </c>
      <c r="O35" s="56" t="s">
        <v>29</v>
      </c>
    </row>
    <row r="36" spans="3:15" x14ac:dyDescent="0.25">
      <c r="E36" s="17"/>
      <c r="F36" s="17"/>
      <c r="G36" s="17"/>
      <c r="H36" s="17"/>
      <c r="I36" s="17"/>
      <c r="J36" s="17"/>
      <c r="K36" s="17"/>
      <c r="L36" s="17"/>
      <c r="M36" s="17"/>
      <c r="N36" s="17"/>
    </row>
  </sheetData>
  <sheetProtection password="EF29" sheet="1" objects="1" scenarios="1"/>
  <protectedRanges>
    <protectedRange sqref="C11:C35" name="Auswahl"/>
  </protectedRanges>
  <mergeCells count="5">
    <mergeCell ref="F9:G9"/>
    <mergeCell ref="H9:I9"/>
    <mergeCell ref="J9:K9"/>
    <mergeCell ref="L9:M9"/>
    <mergeCell ref="N9:O9"/>
  </mergeCells>
  <pageMargins left="0.11811023622047245" right="0.11811023622047245" top="0.59055118110236227" bottom="0.59055118110236227" header="0.31496062992125984" footer="0.31496062992125984"/>
  <pageSetup paperSize="8" scale="75" fitToWidth="2" orientation="landscape" r:id="rId1"/>
  <headerFooter>
    <oddHeader xml:space="preserve">&amp;L&amp;"Arial Narrow,Standard"&amp;10Projekt: Wohnen und Mobilität – Mobilitätskonzepte im Quartier
Im Auftrag des Bayerisches Staatsministerium für Wohnen Bau und Verkehr
Referat 36 – Städtebauförderung
&amp;R&amp;"Arial Narrow,Standard"&amp;10Kosten-Nutzen-Analyse
</oddHeader>
    <oddFooter>&amp;L&amp;"Arial Narrow,Standard"&amp;10Deutsches Institut für Urbanistik
2021&amp;R&amp;"Arial Narrow,Standard"&amp;10&amp;F, &amp;A
Seite &amp;P von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Q38"/>
  <sheetViews>
    <sheetView showGridLines="0" topLeftCell="C1" zoomScale="90" zoomScaleNormal="90" zoomScaleSheetLayoutView="70" zoomScalePageLayoutView="50" workbookViewId="0">
      <selection activeCell="L29" sqref="L29"/>
    </sheetView>
  </sheetViews>
  <sheetFormatPr baseColWidth="10" defaultRowHeight="15" x14ac:dyDescent="0.25"/>
  <cols>
    <col min="4" max="5" width="31.42578125" customWidth="1"/>
    <col min="6" max="15" width="21.28515625" customWidth="1"/>
  </cols>
  <sheetData>
    <row r="3" spans="4:17" ht="15.75" x14ac:dyDescent="0.25">
      <c r="D3" s="18" t="s">
        <v>357</v>
      </c>
      <c r="F3" t="str">
        <f>+Eingaben!K3</f>
        <v>Beispiel</v>
      </c>
    </row>
    <row r="5" spans="4:17" ht="15.75" x14ac:dyDescent="0.25">
      <c r="F5" s="16" t="s">
        <v>80</v>
      </c>
    </row>
    <row r="6" spans="4:17" ht="15.75" x14ac:dyDescent="0.25">
      <c r="F6" s="16" t="s">
        <v>95</v>
      </c>
      <c r="M6" s="57"/>
    </row>
    <row r="7" spans="4:17" ht="15.75" x14ac:dyDescent="0.25">
      <c r="F7" s="16" t="s">
        <v>93</v>
      </c>
    </row>
    <row r="8" spans="4:17" ht="15.75" thickBot="1" x14ac:dyDescent="0.3"/>
    <row r="9" spans="4:17" ht="68.25" customHeight="1" thickBot="1" x14ac:dyDescent="0.3">
      <c r="D9" s="1" t="s">
        <v>0</v>
      </c>
      <c r="E9" s="1" t="s">
        <v>1</v>
      </c>
      <c r="F9" s="65" t="s">
        <v>12</v>
      </c>
      <c r="G9" s="66"/>
      <c r="H9" s="65" t="s">
        <v>2</v>
      </c>
      <c r="I9" s="66"/>
      <c r="J9" s="65" t="s">
        <v>13</v>
      </c>
      <c r="K9" s="66"/>
      <c r="L9" s="65" t="s">
        <v>3</v>
      </c>
      <c r="M9" s="66"/>
      <c r="N9" s="67" t="s">
        <v>92</v>
      </c>
      <c r="O9" s="66"/>
      <c r="Q9" t="s">
        <v>318</v>
      </c>
    </row>
    <row r="10" spans="4:17"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4:17" ht="48.75" thickTop="1" thickBot="1" x14ac:dyDescent="0.3">
      <c r="D11" s="2" t="s">
        <v>19</v>
      </c>
      <c r="E11" s="3" t="s">
        <v>18</v>
      </c>
      <c r="F11" s="24">
        <f>VerzStPl!F11</f>
        <v>0</v>
      </c>
      <c r="G11" s="24">
        <f>VerzStPl!G11</f>
        <v>0</v>
      </c>
      <c r="H11" s="9" t="s">
        <v>29</v>
      </c>
      <c r="I11" s="24">
        <f>+VerzStPl!I11</f>
        <v>0</v>
      </c>
      <c r="J11" s="9" t="s">
        <v>29</v>
      </c>
      <c r="K11" s="9" t="s">
        <v>29</v>
      </c>
      <c r="L11" s="9" t="s">
        <v>53</v>
      </c>
      <c r="M11" s="24">
        <f>VerzStPl!M11</f>
        <v>0</v>
      </c>
      <c r="N11" s="9" t="s">
        <v>34</v>
      </c>
      <c r="O11" s="9" t="s">
        <v>29</v>
      </c>
      <c r="Q11" t="str">
        <f>IF('K-N-Matrix'!C11="x","ja",IF(SUMIF(F11:O11,"&gt;0")&gt;0,"ja",IF(SUMIF(F11:O11,"&lt;0")&lt;0,"ja","nein")))</f>
        <v>nein</v>
      </c>
    </row>
    <row r="12" spans="4:17" ht="51.75" thickBot="1" x14ac:dyDescent="0.3">
      <c r="D12" s="22" t="s">
        <v>31</v>
      </c>
      <c r="E12" s="5" t="s">
        <v>32</v>
      </c>
      <c r="F12" s="25">
        <f>GrünFl!F11</f>
        <v>0</v>
      </c>
      <c r="G12" s="25">
        <f>GrünFl!G11</f>
        <v>0</v>
      </c>
      <c r="H12" s="10" t="s">
        <v>29</v>
      </c>
      <c r="I12" s="10" t="s">
        <v>37</v>
      </c>
      <c r="J12" s="10" t="s">
        <v>29</v>
      </c>
      <c r="K12" s="10" t="s">
        <v>29</v>
      </c>
      <c r="L12" s="25">
        <f>GrünFl!L11</f>
        <v>0</v>
      </c>
      <c r="M12" s="10" t="s">
        <v>36</v>
      </c>
      <c r="N12" s="10" t="s">
        <v>29</v>
      </c>
      <c r="O12" s="10" t="s">
        <v>38</v>
      </c>
      <c r="Q12" t="str">
        <f>IF('K-N-Matrix'!C12="x","ja",IF(SUMIF(F12:O12,"&gt;0")&gt;0,"ja",IF(SUMIF(F12:O12,"&lt;0")&lt;0,"ja","nein")))</f>
        <v>nein</v>
      </c>
    </row>
    <row r="13" spans="4:17" ht="39.75" thickTop="1" thickBot="1" x14ac:dyDescent="0.3">
      <c r="D13" s="2" t="s">
        <v>23</v>
      </c>
      <c r="E13" s="3" t="s">
        <v>33</v>
      </c>
      <c r="F13" s="24">
        <f>WohnFl!F11</f>
        <v>0</v>
      </c>
      <c r="G13" s="24">
        <f>WohnFl!G11</f>
        <v>0</v>
      </c>
      <c r="H13" s="9" t="s">
        <v>29</v>
      </c>
      <c r="I13" s="9" t="s">
        <v>29</v>
      </c>
      <c r="J13" s="9" t="s">
        <v>29</v>
      </c>
      <c r="K13" s="9" t="s">
        <v>29</v>
      </c>
      <c r="L13" s="9" t="s">
        <v>40</v>
      </c>
      <c r="M13" s="24">
        <f>WohnFl!M11</f>
        <v>0</v>
      </c>
      <c r="N13" s="9" t="s">
        <v>29</v>
      </c>
      <c r="O13" s="9" t="s">
        <v>42</v>
      </c>
      <c r="Q13" t="str">
        <f>IF('K-N-Matrix'!C13="x","ja",IF(SUMIF(F13:O13,"&gt;0")&gt;0,"ja",IF(SUMIF(F13:O13,"&lt;0")&lt;0,"ja","nein")))</f>
        <v>nein</v>
      </c>
    </row>
    <row r="14" spans="4:17" ht="48" thickBot="1" x14ac:dyDescent="0.3">
      <c r="D14" s="4" t="s">
        <v>26</v>
      </c>
      <c r="E14" s="12" t="s">
        <v>43</v>
      </c>
      <c r="F14" s="25">
        <f>WohnFl!F12</f>
        <v>0</v>
      </c>
      <c r="G14" s="25">
        <f>WohnFl!G12</f>
        <v>0</v>
      </c>
      <c r="H14" s="10" t="s">
        <v>29</v>
      </c>
      <c r="I14" s="10" t="s">
        <v>39</v>
      </c>
      <c r="J14" s="10" t="s">
        <v>29</v>
      </c>
      <c r="K14" s="10" t="s">
        <v>29</v>
      </c>
      <c r="L14" s="25">
        <f>WohnFl!L12</f>
        <v>0</v>
      </c>
      <c r="M14" s="27" t="s">
        <v>149</v>
      </c>
      <c r="N14" s="10" t="s">
        <v>29</v>
      </c>
      <c r="O14" s="10" t="s">
        <v>47</v>
      </c>
      <c r="Q14" t="str">
        <f>IF('K-N-Matrix'!C14="x","ja",IF(SUMIF(F14:O14,"&gt;0")&gt;0,"ja",IF(SUMIF(F14:O14,"&lt;0")&lt;0,"ja","nein")))</f>
        <v>nein</v>
      </c>
    </row>
    <row r="15" spans="4:17" ht="39.75" thickTop="1" thickBot="1" x14ac:dyDescent="0.3">
      <c r="D15" s="28" t="s">
        <v>154</v>
      </c>
      <c r="E15" s="3" t="s">
        <v>243</v>
      </c>
      <c r="F15" s="24">
        <f>+RadFl!F11</f>
        <v>0</v>
      </c>
      <c r="G15" s="24">
        <f>+RadFl!G11</f>
        <v>0</v>
      </c>
      <c r="H15" s="9" t="s">
        <v>29</v>
      </c>
      <c r="I15" s="9" t="s">
        <v>29</v>
      </c>
      <c r="J15" s="9" t="s">
        <v>29</v>
      </c>
      <c r="K15" s="9" t="s">
        <v>29</v>
      </c>
      <c r="L15" s="24">
        <f>+RadFl!L11</f>
        <v>0</v>
      </c>
      <c r="M15" s="9" t="s">
        <v>78</v>
      </c>
      <c r="N15" s="9" t="s">
        <v>51</v>
      </c>
      <c r="O15" s="9" t="s">
        <v>42</v>
      </c>
      <c r="Q15" t="str">
        <f>IF('K-N-Matrix'!C15="x","ja",IF(SUMIF(F15:O15,"&gt;0")&gt;0,"ja",IF(SUMIF(F15:O15,"&lt;0")&lt;0,"ja","nein")))</f>
        <v>nein</v>
      </c>
    </row>
    <row r="16" spans="4:17" ht="39" thickBot="1" x14ac:dyDescent="0.3">
      <c r="D16" s="22" t="s">
        <v>155</v>
      </c>
      <c r="E16" s="12" t="s">
        <v>43</v>
      </c>
      <c r="F16" s="25">
        <f>+RadFl!F12</f>
        <v>0</v>
      </c>
      <c r="G16" s="10" t="s">
        <v>29</v>
      </c>
      <c r="H16" s="10" t="s">
        <v>29</v>
      </c>
      <c r="I16" s="10" t="s">
        <v>29</v>
      </c>
      <c r="J16" s="10" t="s">
        <v>29</v>
      </c>
      <c r="K16" s="10" t="s">
        <v>29</v>
      </c>
      <c r="L16" s="10" t="s">
        <v>29</v>
      </c>
      <c r="M16" s="10" t="s">
        <v>77</v>
      </c>
      <c r="N16" s="10" t="s">
        <v>29</v>
      </c>
      <c r="O16" s="10" t="s">
        <v>52</v>
      </c>
      <c r="Q16" t="str">
        <f>IF('K-N-Matrix'!C16="x","ja",IF(SUMIF(F16:O16,"&gt;0")&gt;0,"ja",IF(SUMIF(F16:O16,"&lt;0")&lt;0,"ja","nein")))</f>
        <v>nein</v>
      </c>
    </row>
    <row r="17" spans="4:17" ht="48.75" thickTop="1" thickBot="1" x14ac:dyDescent="0.3">
      <c r="D17" s="2" t="s">
        <v>20</v>
      </c>
      <c r="E17" s="3" t="s">
        <v>21</v>
      </c>
      <c r="F17" s="9" t="s">
        <v>29</v>
      </c>
      <c r="G17" s="24">
        <f>+StraFl!G11</f>
        <v>0</v>
      </c>
      <c r="H17" s="24">
        <f>+StraFl!H11</f>
        <v>0</v>
      </c>
      <c r="I17" s="9" t="s">
        <v>29</v>
      </c>
      <c r="J17" s="9" t="s">
        <v>29</v>
      </c>
      <c r="K17" s="9" t="s">
        <v>29</v>
      </c>
      <c r="L17" s="9" t="s">
        <v>29</v>
      </c>
      <c r="M17" s="9" t="s">
        <v>29</v>
      </c>
      <c r="N17" s="9" t="s">
        <v>51</v>
      </c>
      <c r="O17" s="9" t="s">
        <v>42</v>
      </c>
      <c r="Q17" t="str">
        <f>IF('K-N-Matrix'!C17="x","ja",IF(SUMIF(F17:O17,"&gt;0")&gt;0,"ja",IF(SUMIF(F17:O17,"&lt;0")&lt;0,"ja","nein")))</f>
        <v>nein</v>
      </c>
    </row>
    <row r="18" spans="4:17" ht="39" thickBot="1" x14ac:dyDescent="0.3">
      <c r="D18" s="4" t="s">
        <v>22</v>
      </c>
      <c r="E18" s="12" t="s">
        <v>43</v>
      </c>
      <c r="F18" s="10" t="s">
        <v>29</v>
      </c>
      <c r="G18" s="10" t="s">
        <v>29</v>
      </c>
      <c r="H18" s="25">
        <f>+StraFl!H12</f>
        <v>0</v>
      </c>
      <c r="I18" s="25">
        <f>+StraFl!I12</f>
        <v>0</v>
      </c>
      <c r="J18" s="10" t="s">
        <v>29</v>
      </c>
      <c r="K18" s="10" t="s">
        <v>29</v>
      </c>
      <c r="L18" s="30">
        <f>+StraFl!L12</f>
        <v>0</v>
      </c>
      <c r="M18" s="10" t="s">
        <v>77</v>
      </c>
      <c r="N18" s="10" t="s">
        <v>29</v>
      </c>
      <c r="O18" s="10" t="s">
        <v>52</v>
      </c>
      <c r="Q18" t="str">
        <f>IF('K-N-Matrix'!C18="x","ja",IF(SUMIF(F18:O18,"&gt;0")&gt;0,"ja",IF(SUMIF(F18:O18,"&lt;0")&lt;0,"ja","nein")))</f>
        <v>nein</v>
      </c>
    </row>
    <row r="19" spans="4:17" ht="52.5" thickTop="1" thickBot="1" x14ac:dyDescent="0.3">
      <c r="D19" s="2" t="s">
        <v>14</v>
      </c>
      <c r="E19" s="3" t="s">
        <v>16</v>
      </c>
      <c r="F19" s="9" t="s">
        <v>29</v>
      </c>
      <c r="G19" s="9" t="s">
        <v>29</v>
      </c>
      <c r="H19" s="9" t="s">
        <v>54</v>
      </c>
      <c r="I19" s="9" t="s">
        <v>55</v>
      </c>
      <c r="J19" s="9" t="s">
        <v>29</v>
      </c>
      <c r="K19" s="9" t="s">
        <v>56</v>
      </c>
      <c r="L19" s="24">
        <f>+AbPkw!L11</f>
        <v>0</v>
      </c>
      <c r="M19" s="24">
        <f>+AbPkw!M11</f>
        <v>0</v>
      </c>
      <c r="N19" s="9" t="s">
        <v>60</v>
      </c>
      <c r="O19" s="9" t="s">
        <v>59</v>
      </c>
      <c r="Q19" t="str">
        <f>IF('K-N-Matrix'!C19="x","ja",IF(SUMIF(F19:O19,"&gt;0")&gt;0,"ja",IF(SUMIF(F19:O19,"&lt;0")&lt;0,"ja","nein")))</f>
        <v>nein</v>
      </c>
    </row>
    <row r="20" spans="4:17" ht="26.25" thickBot="1" x14ac:dyDescent="0.3">
      <c r="D20" s="4" t="s">
        <v>15</v>
      </c>
      <c r="E20" s="5" t="s">
        <v>17</v>
      </c>
      <c r="F20" s="10" t="s">
        <v>29</v>
      </c>
      <c r="G20" s="10" t="s">
        <v>29</v>
      </c>
      <c r="H20" s="10" t="s">
        <v>29</v>
      </c>
      <c r="I20" s="10" t="s">
        <v>29</v>
      </c>
      <c r="J20" s="10" t="s">
        <v>29</v>
      </c>
      <c r="K20" s="10" t="s">
        <v>29</v>
      </c>
      <c r="L20" s="10" t="s">
        <v>29</v>
      </c>
      <c r="M20" s="25">
        <f>+AbPkw!M12</f>
        <v>0</v>
      </c>
      <c r="N20" s="10" t="s">
        <v>61</v>
      </c>
      <c r="O20" s="10" t="s">
        <v>62</v>
      </c>
      <c r="Q20" t="str">
        <f>IF('K-N-Matrix'!C20="x","ja",IF(SUMIF(F20:O20,"&gt;0")&gt;0,"ja",IF(SUMIF(F20:O20,"&lt;0")&lt;0,"ja","nein")))</f>
        <v>nein</v>
      </c>
    </row>
    <row r="21" spans="4:17" ht="39.75" thickTop="1" thickBot="1" x14ac:dyDescent="0.3">
      <c r="D21" s="2" t="s">
        <v>4</v>
      </c>
      <c r="E21" s="3" t="s">
        <v>5</v>
      </c>
      <c r="F21" s="9" t="s">
        <v>29</v>
      </c>
      <c r="G21" s="24">
        <f>+ÖVInf!G11</f>
        <v>0</v>
      </c>
      <c r="H21" s="24">
        <f>+ÖVInf!H11</f>
        <v>0</v>
      </c>
      <c r="I21" s="9" t="s">
        <v>29</v>
      </c>
      <c r="J21" s="24">
        <f>+ÖVInf!J11</f>
        <v>0</v>
      </c>
      <c r="K21" s="24">
        <f>+ÖVInf!K11</f>
        <v>0</v>
      </c>
      <c r="L21" s="24">
        <f>+ÖVInf!L11</f>
        <v>0</v>
      </c>
      <c r="M21" s="9" t="s">
        <v>29</v>
      </c>
      <c r="N21" s="9" t="s">
        <v>68</v>
      </c>
      <c r="O21" s="9" t="s">
        <v>42</v>
      </c>
      <c r="Q21" t="str">
        <f>IF('K-N-Matrix'!C21="x","ja",IF(SUMIF(F21:O21,"&gt;0")&gt;0,"ja",IF(SUMIF(F21:O21,"&lt;0")&lt;0,"ja","nein")))</f>
        <v>nein</v>
      </c>
    </row>
    <row r="22" spans="4:17" ht="39" thickBot="1" x14ac:dyDescent="0.3">
      <c r="D22" s="4" t="s">
        <v>6</v>
      </c>
      <c r="E22" s="5" t="s">
        <v>7</v>
      </c>
      <c r="F22" s="10" t="s">
        <v>29</v>
      </c>
      <c r="G22" s="10" t="s">
        <v>29</v>
      </c>
      <c r="H22" s="10" t="s">
        <v>65</v>
      </c>
      <c r="I22" s="10" t="s">
        <v>66</v>
      </c>
      <c r="J22" s="25">
        <f>+ÖVInf!J12</f>
        <v>0</v>
      </c>
      <c r="K22" s="25">
        <f>+ÖVInf!K12</f>
        <v>0</v>
      </c>
      <c r="L22" s="10" t="s">
        <v>29</v>
      </c>
      <c r="M22" s="10" t="s">
        <v>29</v>
      </c>
      <c r="N22" s="10" t="s">
        <v>29</v>
      </c>
      <c r="O22" s="10" t="s">
        <v>67</v>
      </c>
      <c r="Q22" t="str">
        <f>IF('K-N-Matrix'!C22="x","ja",IF(SUMIF(F22:O22,"&gt;0")&gt;0,"ja",IF(SUMIF(F22:O22,"&lt;0")&lt;0,"ja","nein")))</f>
        <v>nein</v>
      </c>
    </row>
    <row r="23" spans="4:17" ht="39.75" thickTop="1" thickBot="1" x14ac:dyDescent="0.3">
      <c r="D23" s="2" t="s">
        <v>8</v>
      </c>
      <c r="E23" s="3" t="s">
        <v>9</v>
      </c>
      <c r="F23" s="24">
        <f>+Tickets!F11</f>
        <v>0</v>
      </c>
      <c r="G23" s="24">
        <f>+Tickets!G11</f>
        <v>0</v>
      </c>
      <c r="H23" s="9" t="s">
        <v>29</v>
      </c>
      <c r="I23" s="9" t="s">
        <v>29</v>
      </c>
      <c r="J23" s="9" t="s">
        <v>29</v>
      </c>
      <c r="K23" s="24">
        <f>+Tickets!K11</f>
        <v>0</v>
      </c>
      <c r="L23" s="24">
        <f>+Tickets!L11</f>
        <v>0</v>
      </c>
      <c r="M23" s="9" t="s">
        <v>78</v>
      </c>
      <c r="N23" s="9" t="s">
        <v>29</v>
      </c>
      <c r="O23" s="9" t="s">
        <v>62</v>
      </c>
      <c r="Q23" t="str">
        <f>IF('K-N-Matrix'!C23="x","ja",IF(SUMIF(F23:O23,"&gt;0")&gt;0,"ja",IF(SUMIF(F23:O23,"&lt;0")&lt;0,"ja","nein")))</f>
        <v>nein</v>
      </c>
    </row>
    <row r="24" spans="4:17" ht="51.75" thickBot="1" x14ac:dyDescent="0.3">
      <c r="D24" s="4" t="s">
        <v>24</v>
      </c>
      <c r="E24" s="12" t="s">
        <v>43</v>
      </c>
      <c r="F24" s="10" t="s">
        <v>29</v>
      </c>
      <c r="G24" s="10" t="s">
        <v>29</v>
      </c>
      <c r="H24" s="10" t="s">
        <v>29</v>
      </c>
      <c r="I24" s="10" t="s">
        <v>29</v>
      </c>
      <c r="J24" s="25">
        <f>Tickets!J12</f>
        <v>0</v>
      </c>
      <c r="K24" s="10" t="s">
        <v>76</v>
      </c>
      <c r="L24" s="10" t="s">
        <v>242</v>
      </c>
      <c r="M24" s="10" t="s">
        <v>79</v>
      </c>
      <c r="N24" s="10" t="s">
        <v>29</v>
      </c>
      <c r="O24" s="10" t="s">
        <v>62</v>
      </c>
      <c r="Q24" t="str">
        <f>IF('K-N-Matrix'!C24="x","ja",IF(SUMIF(F24:O24,"&gt;0")&gt;0,"ja",IF(SUMIF(F24:O24,"&lt;0")&lt;0,"ja","nein")))</f>
        <v>nein</v>
      </c>
    </row>
    <row r="25" spans="4:17" ht="33" thickTop="1" thickBot="1" x14ac:dyDescent="0.3">
      <c r="D25" s="2" t="s">
        <v>10</v>
      </c>
      <c r="E25" s="3" t="s">
        <v>11</v>
      </c>
      <c r="F25" s="24">
        <f>+CarS!F11</f>
        <v>0</v>
      </c>
      <c r="G25" s="24">
        <f>+CarS!G11</f>
        <v>0</v>
      </c>
      <c r="H25" s="24">
        <f>+CarS!H11</f>
        <v>0</v>
      </c>
      <c r="I25" s="9" t="s">
        <v>82</v>
      </c>
      <c r="J25" s="24">
        <f>+CarS!J11</f>
        <v>0</v>
      </c>
      <c r="K25" s="9" t="s">
        <v>29</v>
      </c>
      <c r="L25" s="24">
        <f>+CarS!L11</f>
        <v>0</v>
      </c>
      <c r="M25" s="9" t="s">
        <v>78</v>
      </c>
      <c r="N25" s="9" t="s">
        <v>29</v>
      </c>
      <c r="O25" s="9" t="s">
        <v>85</v>
      </c>
      <c r="Q25" t="str">
        <f>IF('K-N-Matrix'!C25="x","ja",IF(SUMIF(F25:O25,"&gt;0")&gt;0,"ja",IF(SUMIF(F25:O25,"&lt;0")&lt;0,"ja","nein")))</f>
        <v>nein</v>
      </c>
    </row>
    <row r="26" spans="4:17" ht="39" thickBot="1" x14ac:dyDescent="0.3">
      <c r="D26" s="4" t="s">
        <v>25</v>
      </c>
      <c r="E26" s="12" t="s">
        <v>43</v>
      </c>
      <c r="F26" s="25">
        <f>CarS!F12</f>
        <v>0</v>
      </c>
      <c r="G26" s="10" t="s">
        <v>29</v>
      </c>
      <c r="H26" s="25">
        <f>CarS!H12</f>
        <v>0</v>
      </c>
      <c r="I26" s="10" t="s">
        <v>82</v>
      </c>
      <c r="J26" s="25">
        <f>CarS!J12</f>
        <v>0</v>
      </c>
      <c r="K26" s="10" t="s">
        <v>29</v>
      </c>
      <c r="L26" s="25">
        <f>CarS!L12</f>
        <v>0</v>
      </c>
      <c r="M26" s="10" t="s">
        <v>79</v>
      </c>
      <c r="N26" s="10" t="s">
        <v>29</v>
      </c>
      <c r="O26" s="10" t="s">
        <v>314</v>
      </c>
      <c r="Q26" t="str">
        <f>IF('K-N-Matrix'!C26="x","ja",IF(SUMIF(F26:O26,"&gt;0")&gt;0,"ja",IF(SUMIF(F26:O26,"&lt;0")&lt;0,"ja","nein")))</f>
        <v>nein</v>
      </c>
    </row>
    <row r="27" spans="4:17" ht="26.25" thickBot="1" x14ac:dyDescent="0.3">
      <c r="D27" s="22" t="s">
        <v>150</v>
      </c>
      <c r="E27" s="29" t="s">
        <v>156</v>
      </c>
      <c r="F27" s="31">
        <f>BikeS!F11</f>
        <v>0</v>
      </c>
      <c r="G27" s="31">
        <f>BikeS!G11</f>
        <v>0</v>
      </c>
      <c r="H27" s="31">
        <f>BikeS!H11</f>
        <v>0</v>
      </c>
      <c r="I27" s="11" t="s">
        <v>82</v>
      </c>
      <c r="J27" s="31">
        <f>BikeS!J11</f>
        <v>0</v>
      </c>
      <c r="K27" s="11" t="s">
        <v>29</v>
      </c>
      <c r="L27" s="31">
        <f>BikeS!L11</f>
        <v>0</v>
      </c>
      <c r="M27" s="11" t="s">
        <v>78</v>
      </c>
      <c r="N27" s="11" t="s">
        <v>29</v>
      </c>
      <c r="O27" s="11" t="s">
        <v>85</v>
      </c>
      <c r="Q27" t="str">
        <f>IF('K-N-Matrix'!C27="x","ja",IF(SUMIF(F27:O27,"&gt;0")&gt;0,"ja",IF(SUMIF(F27:O27,"&lt;0")&lt;0,"ja","nein")))</f>
        <v>nein</v>
      </c>
    </row>
    <row r="28" spans="4:17" ht="39" thickBot="1" x14ac:dyDescent="0.3">
      <c r="D28" s="22" t="s">
        <v>151</v>
      </c>
      <c r="E28" s="12" t="s">
        <v>43</v>
      </c>
      <c r="F28" s="25">
        <f>BikeS!F12</f>
        <v>0</v>
      </c>
      <c r="G28" s="10" t="s">
        <v>29</v>
      </c>
      <c r="H28" s="25">
        <f>BikeS!H12</f>
        <v>0</v>
      </c>
      <c r="I28" s="10" t="s">
        <v>82</v>
      </c>
      <c r="J28" s="25">
        <f>BikeS!J12</f>
        <v>0</v>
      </c>
      <c r="K28" s="10" t="s">
        <v>29</v>
      </c>
      <c r="L28" s="25">
        <f>BikeS!L12</f>
        <v>0</v>
      </c>
      <c r="M28" s="10" t="s">
        <v>79</v>
      </c>
      <c r="N28" s="10" t="s">
        <v>29</v>
      </c>
      <c r="O28" s="10" t="s">
        <v>314</v>
      </c>
      <c r="Q28" t="str">
        <f>IF('K-N-Matrix'!C28="x","ja",IF(SUMIF(F28:O28,"&gt;0")&gt;0,"ja",IF(SUMIF(F28:O28,"&lt;0")&lt;0,"ja","nein")))</f>
        <v>nein</v>
      </c>
    </row>
    <row r="29" spans="4:17" ht="32.25" thickBot="1" x14ac:dyDescent="0.3">
      <c r="D29" s="22" t="s">
        <v>152</v>
      </c>
      <c r="E29" s="29" t="s">
        <v>157</v>
      </c>
      <c r="F29" s="31">
        <f>+CargoS!F11</f>
        <v>0</v>
      </c>
      <c r="G29" s="31">
        <f>+CargoS!G11</f>
        <v>0</v>
      </c>
      <c r="H29" s="31">
        <f>+CargoS!H11</f>
        <v>0</v>
      </c>
      <c r="I29" s="11" t="s">
        <v>82</v>
      </c>
      <c r="J29" s="31">
        <f>+CargoS!J11</f>
        <v>0</v>
      </c>
      <c r="K29" s="11" t="s">
        <v>29</v>
      </c>
      <c r="L29" s="31">
        <f>+CargoS!L11</f>
        <v>0</v>
      </c>
      <c r="M29" s="11" t="s">
        <v>78</v>
      </c>
      <c r="N29" s="11" t="s">
        <v>29</v>
      </c>
      <c r="O29" s="11" t="s">
        <v>85</v>
      </c>
      <c r="Q29" t="str">
        <f>IF('K-N-Matrix'!C29="x","ja",IF(SUMIF(F29:O29,"&gt;0")&gt;0,"ja",IF(SUMIF(F29:O29,"&lt;0")&lt;0,"ja","nein")))</f>
        <v>nein</v>
      </c>
    </row>
    <row r="30" spans="4:17" ht="39" thickBot="1" x14ac:dyDescent="0.3">
      <c r="D30" s="22" t="s">
        <v>153</v>
      </c>
      <c r="E30" s="12" t="s">
        <v>43</v>
      </c>
      <c r="F30" s="25">
        <f>+CargoS!F12</f>
        <v>0</v>
      </c>
      <c r="G30" s="10" t="s">
        <v>29</v>
      </c>
      <c r="H30" s="25">
        <f>+CargoS!H12</f>
        <v>0</v>
      </c>
      <c r="I30" s="10" t="s">
        <v>82</v>
      </c>
      <c r="J30" s="25">
        <f>+CargoS!J12</f>
        <v>0</v>
      </c>
      <c r="K30" s="10" t="s">
        <v>29</v>
      </c>
      <c r="L30" s="25">
        <f>+CargoS!L12</f>
        <v>0</v>
      </c>
      <c r="M30" s="10" t="s">
        <v>79</v>
      </c>
      <c r="N30" s="10" t="s">
        <v>29</v>
      </c>
      <c r="O30" s="10" t="s">
        <v>314</v>
      </c>
      <c r="Q30" t="str">
        <f>IF('K-N-Matrix'!C30="x","ja",IF(SUMIF(F30:O30,"&gt;0")&gt;0,"ja",IF(SUMIF(F30:O30,"&lt;0")&lt;0,"ja","nein")))</f>
        <v>nein</v>
      </c>
    </row>
    <row r="31" spans="4:17" ht="33" thickTop="1" thickBot="1" x14ac:dyDescent="0.3">
      <c r="D31" s="28" t="s">
        <v>158</v>
      </c>
      <c r="E31" s="29" t="s">
        <v>295</v>
      </c>
      <c r="F31" s="31">
        <f>+ELade!F11</f>
        <v>0</v>
      </c>
      <c r="G31" s="31">
        <f>+ELade!G11</f>
        <v>0</v>
      </c>
      <c r="H31" s="31">
        <f>+ELade!H11</f>
        <v>0</v>
      </c>
      <c r="I31" s="11" t="s">
        <v>82</v>
      </c>
      <c r="J31" s="31">
        <f>+ELade!J11</f>
        <v>0</v>
      </c>
      <c r="K31" s="11" t="s">
        <v>29</v>
      </c>
      <c r="L31" s="31">
        <f>+ELade!L11</f>
        <v>0</v>
      </c>
      <c r="M31" s="11" t="s">
        <v>78</v>
      </c>
      <c r="N31" s="11" t="s">
        <v>29</v>
      </c>
      <c r="O31" s="11" t="s">
        <v>85</v>
      </c>
      <c r="Q31" t="str">
        <f>IF('K-N-Matrix'!C31="x","ja",IF(SUMIF(F31:O31,"&gt;0")&gt;0,"ja",IF(SUMIF(F31:O31,"&lt;0")&lt;0,"ja","nein")))</f>
        <v>nein</v>
      </c>
    </row>
    <row r="32" spans="4:17" ht="39" thickBot="1" x14ac:dyDescent="0.3">
      <c r="D32" s="22" t="s">
        <v>159</v>
      </c>
      <c r="E32" s="12" t="s">
        <v>43</v>
      </c>
      <c r="F32" s="25">
        <f>ELade!F12</f>
        <v>0</v>
      </c>
      <c r="G32" s="10" t="s">
        <v>29</v>
      </c>
      <c r="H32" s="25">
        <f>ELade!H12</f>
        <v>0</v>
      </c>
      <c r="I32" s="10" t="s">
        <v>82</v>
      </c>
      <c r="J32" s="25">
        <f>ELade!J12</f>
        <v>0</v>
      </c>
      <c r="K32" s="10" t="s">
        <v>29</v>
      </c>
      <c r="L32" s="25">
        <f>ELade!L12</f>
        <v>0</v>
      </c>
      <c r="M32" s="10" t="s">
        <v>79</v>
      </c>
      <c r="N32" s="10" t="s">
        <v>29</v>
      </c>
      <c r="O32" s="10" t="s">
        <v>314</v>
      </c>
      <c r="Q32" t="str">
        <f>IF('K-N-Matrix'!C32="x","ja",IF(SUMIF(F32:O32,"&gt;0")&gt;0,"ja",IF(SUMIF(F32:O32,"&lt;0")&lt;0,"ja","nein")))</f>
        <v>nein</v>
      </c>
    </row>
    <row r="33" spans="4:17" ht="32.25" thickBot="1" x14ac:dyDescent="0.3">
      <c r="D33" s="22" t="s">
        <v>160</v>
      </c>
      <c r="E33" s="29" t="s">
        <v>310</v>
      </c>
      <c r="F33" s="11" t="s">
        <v>71</v>
      </c>
      <c r="G33" s="11" t="s">
        <v>29</v>
      </c>
      <c r="H33" s="11" t="s">
        <v>29</v>
      </c>
      <c r="I33" s="11" t="s">
        <v>29</v>
      </c>
      <c r="J33" s="11" t="s">
        <v>29</v>
      </c>
      <c r="K33" s="11" t="s">
        <v>29</v>
      </c>
      <c r="L33" s="11" t="s">
        <v>29</v>
      </c>
      <c r="M33" s="11" t="s">
        <v>78</v>
      </c>
      <c r="N33" s="11" t="s">
        <v>29</v>
      </c>
      <c r="O33" s="11" t="s">
        <v>29</v>
      </c>
      <c r="Q33" t="str">
        <f>IF('K-N-Matrix'!C33="x","ja",IF(SUMIF(F33:O33,"&gt;0")&gt;0,"ja",IF(SUMIF(F33:O33,"&lt;0")&lt;0,"ja","nein")))</f>
        <v>nein</v>
      </c>
    </row>
    <row r="34" spans="4:17" ht="39" thickBot="1" x14ac:dyDescent="0.3">
      <c r="D34" s="22" t="s">
        <v>311</v>
      </c>
      <c r="E34" s="12" t="s">
        <v>312</v>
      </c>
      <c r="F34" s="10" t="s">
        <v>44</v>
      </c>
      <c r="G34" s="10" t="s">
        <v>29</v>
      </c>
      <c r="H34" s="10" t="s">
        <v>29</v>
      </c>
      <c r="I34" s="10" t="s">
        <v>29</v>
      </c>
      <c r="J34" s="10" t="s">
        <v>29</v>
      </c>
      <c r="K34" s="10" t="s">
        <v>29</v>
      </c>
      <c r="L34" s="10" t="s">
        <v>29</v>
      </c>
      <c r="M34" s="10" t="s">
        <v>79</v>
      </c>
      <c r="N34" s="10" t="s">
        <v>29</v>
      </c>
      <c r="O34" s="10" t="s">
        <v>62</v>
      </c>
      <c r="Q34" t="str">
        <f>IF('K-N-Matrix'!C34="x","ja",IF(SUMIF(F34:O34,"&gt;0")&gt;0,"ja",IF(SUMIF(F34:O34,"&lt;0")&lt;0,"ja","nein")))</f>
        <v>nein</v>
      </c>
    </row>
    <row r="35" spans="4:17" ht="48" thickBot="1" x14ac:dyDescent="0.3">
      <c r="D35" s="4" t="s">
        <v>343</v>
      </c>
      <c r="E35" s="6" t="s">
        <v>342</v>
      </c>
      <c r="F35" s="31">
        <f>Konzept!F11</f>
        <v>0</v>
      </c>
      <c r="G35" s="56" t="s">
        <v>29</v>
      </c>
      <c r="H35" s="31">
        <f>Konzept!H11</f>
        <v>0</v>
      </c>
      <c r="I35" s="56" t="s">
        <v>29</v>
      </c>
      <c r="J35" s="56" t="s">
        <v>29</v>
      </c>
      <c r="K35" s="56" t="s">
        <v>29</v>
      </c>
      <c r="L35" s="56" t="s">
        <v>29</v>
      </c>
      <c r="M35" s="56" t="s">
        <v>29</v>
      </c>
      <c r="N35" s="56" t="s">
        <v>29</v>
      </c>
      <c r="O35" s="56" t="s">
        <v>29</v>
      </c>
      <c r="Q35" t="str">
        <f>IF('K-N-Matrix'!C35="x","ja",IF(SUMIF(F35:O35,"&gt;0")&gt;0,"ja",IF(SUMIF(F35:O35,"&lt;0")&lt;0,"ja","nein")))</f>
        <v>nein</v>
      </c>
    </row>
    <row r="37" spans="4:17" s="43" customFormat="1" x14ac:dyDescent="0.25">
      <c r="E37" s="43" t="s">
        <v>316</v>
      </c>
      <c r="F37" s="44">
        <f>SUM(F11:F36)</f>
        <v>0</v>
      </c>
      <c r="G37" s="44">
        <f t="shared" ref="G37:O37" si="0">SUM(G11:G36)</f>
        <v>0</v>
      </c>
      <c r="H37" s="44">
        <f t="shared" si="0"/>
        <v>0</v>
      </c>
      <c r="I37" s="44">
        <f t="shared" si="0"/>
        <v>0</v>
      </c>
      <c r="J37" s="44">
        <f t="shared" si="0"/>
        <v>0</v>
      </c>
      <c r="K37" s="44">
        <f t="shared" si="0"/>
        <v>0</v>
      </c>
      <c r="L37" s="44">
        <f t="shared" si="0"/>
        <v>0</v>
      </c>
      <c r="M37" s="44">
        <f t="shared" si="0"/>
        <v>0</v>
      </c>
      <c r="N37" s="44">
        <f t="shared" si="0"/>
        <v>0</v>
      </c>
      <c r="O37" s="44">
        <f t="shared" si="0"/>
        <v>0</v>
      </c>
    </row>
    <row r="38" spans="4:17" s="43" customFormat="1" x14ac:dyDescent="0.25">
      <c r="E38" s="43" t="s">
        <v>317</v>
      </c>
      <c r="F38" s="44" t="str">
        <f>IF(SUM(F37+G37)&lt;0,F37+G37,"-")</f>
        <v>-</v>
      </c>
      <c r="G38" s="44" t="str">
        <f>IF(SUM(F37+G37)&gt;0,F37+G37,"-")</f>
        <v>-</v>
      </c>
      <c r="H38" s="44" t="str">
        <f>IF(SUM(H37+I37)&lt;0,H37+I37,"-")</f>
        <v>-</v>
      </c>
      <c r="I38" s="44" t="str">
        <f>IF(SUM(H37+I37)&gt;0,H37+I37,"-")</f>
        <v>-</v>
      </c>
      <c r="J38" s="44" t="str">
        <f>IF(SUM(J37+K37)&lt;0,J37+K37,"-")</f>
        <v>-</v>
      </c>
      <c r="K38" s="44" t="str">
        <f>IF(SUM(J37+K37)&gt;0,J37+K37,"-")</f>
        <v>-</v>
      </c>
      <c r="L38" s="44" t="str">
        <f>IF(SUM(L37+M37)&lt;0,L37+M37,"-")</f>
        <v>-</v>
      </c>
      <c r="M38" s="44" t="str">
        <f>IF(SUM(L37+M37)&gt;0,L37+M37,"-")</f>
        <v>-</v>
      </c>
      <c r="N38" s="44" t="str">
        <f>IF(SUM(N37+O37)&lt;0,N37+O37,"-")</f>
        <v>-</v>
      </c>
      <c r="O38" s="44" t="str">
        <f>IF(SUM(N37+O37)&gt;0,N37+O37,"-")</f>
        <v>-</v>
      </c>
    </row>
  </sheetData>
  <sheetProtection password="EF29" sheet="1" objects="1" scenarios="1"/>
  <mergeCells count="5">
    <mergeCell ref="F9:G9"/>
    <mergeCell ref="H9:I9"/>
    <mergeCell ref="J9:K9"/>
    <mergeCell ref="L9:M9"/>
    <mergeCell ref="N9:O9"/>
  </mergeCells>
  <pageMargins left="0.11811023622047245" right="0.11811023622047245" top="0.59055118110236227" bottom="0.59055118110236227" header="0.31496062992125984" footer="0.31496062992125984"/>
  <pageSetup paperSize="8" scale="75" fitToWidth="2" orientation="landscape" r:id="rId1"/>
  <headerFooter>
    <oddHeader xml:space="preserve">&amp;L&amp;"Arial Narrow,Standard"&amp;10Projekt: Wohnen und Mobilität – Mobilitätskonzepte im Quartier
Im Auftrag des Bayerisches Staatsministerium für Wohnen Bau und Verkehr
Referat 36 – Städtebauförderung
&amp;R&amp;"Arial Narrow,Standard"&amp;10Kosten-Nutzen-Analyse
</oddHeader>
    <oddFooter>&amp;L&amp;"Arial Narrow,Standard"&amp;10Deutsches Institut für Urbanistik
2021&amp;R&amp;"Arial Narrow,Standard"&amp;10&amp;F, &amp;A
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54"/>
  <sheetViews>
    <sheetView topLeftCell="B10" zoomScale="90" zoomScaleNormal="90" workbookViewId="0">
      <selection activeCell="J32" sqref="J32"/>
    </sheetView>
  </sheetViews>
  <sheetFormatPr baseColWidth="10" defaultRowHeight="15" x14ac:dyDescent="0.25"/>
  <cols>
    <col min="4" max="4" width="34.28515625" customWidth="1"/>
    <col min="5" max="15" width="15.140625" customWidth="1"/>
  </cols>
  <sheetData>
    <row r="3" spans="3:15" ht="15.75" x14ac:dyDescent="0.25">
      <c r="D3" s="18" t="s">
        <v>19</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65.25" thickTop="1" thickBot="1" x14ac:dyDescent="0.3">
      <c r="D11" s="2" t="s">
        <v>19</v>
      </c>
      <c r="E11" s="3" t="s">
        <v>18</v>
      </c>
      <c r="F11" s="24">
        <f>J50+J54</f>
        <v>0</v>
      </c>
      <c r="G11" s="24">
        <f>J52+J51</f>
        <v>0</v>
      </c>
      <c r="H11" s="9" t="s">
        <v>29</v>
      </c>
      <c r="I11" s="24">
        <f>-J54</f>
        <v>0</v>
      </c>
      <c r="J11" s="9" t="s">
        <v>29</v>
      </c>
      <c r="K11" s="9" t="s">
        <v>29</v>
      </c>
      <c r="L11" s="9" t="s">
        <v>53</v>
      </c>
      <c r="M11" s="24">
        <f>-J50</f>
        <v>0</v>
      </c>
      <c r="N11" s="9" t="s">
        <v>34</v>
      </c>
      <c r="O11" s="9" t="s">
        <v>29</v>
      </c>
    </row>
    <row r="14" spans="3:15" x14ac:dyDescent="0.25">
      <c r="C14" t="s">
        <v>101</v>
      </c>
      <c r="D14" t="s">
        <v>96</v>
      </c>
      <c r="J14" s="42">
        <f>VLOOKUP($C14,Eingaben!$D:$K,8,FALSE)</f>
        <v>0</v>
      </c>
      <c r="K14" t="s">
        <v>102</v>
      </c>
    </row>
    <row r="15" spans="3:15" x14ac:dyDescent="0.25">
      <c r="J15" s="19"/>
    </row>
    <row r="16" spans="3:15" x14ac:dyDescent="0.25">
      <c r="C16" t="str">
        <f>"StPv"</f>
        <v>StPv</v>
      </c>
      <c r="D16" t="s">
        <v>104</v>
      </c>
      <c r="J16" s="54">
        <f>VLOOKUP($C16,Eingaben!$D:$K,8,FALSE)</f>
        <v>0</v>
      </c>
      <c r="K16" t="s">
        <v>102</v>
      </c>
    </row>
    <row r="17" spans="3:11" x14ac:dyDescent="0.25">
      <c r="J17" s="19"/>
    </row>
    <row r="18" spans="3:11" x14ac:dyDescent="0.25">
      <c r="C18" t="str">
        <f>"StPo"</f>
        <v>StPo</v>
      </c>
      <c r="D18" t="s">
        <v>104</v>
      </c>
      <c r="J18" s="54">
        <f>VLOOKUP($C18,Eingaben!$D:$K,8,FALSE)</f>
        <v>0</v>
      </c>
      <c r="K18" t="s">
        <v>102</v>
      </c>
    </row>
    <row r="19" spans="3:11" x14ac:dyDescent="0.25">
      <c r="J19" s="19"/>
    </row>
    <row r="20" spans="3:11" x14ac:dyDescent="0.25">
      <c r="C20" t="str">
        <f>"WEo"</f>
        <v>WEo</v>
      </c>
      <c r="D20" t="s">
        <v>97</v>
      </c>
      <c r="J20" s="20" t="e">
        <f>J22/(J14*J16)*100</f>
        <v>#DIV/0!</v>
      </c>
      <c r="K20" t="s">
        <v>103</v>
      </c>
    </row>
    <row r="21" spans="3:11" x14ac:dyDescent="0.25">
      <c r="J21" s="19"/>
    </row>
    <row r="22" spans="3:11" x14ac:dyDescent="0.25">
      <c r="C22" t="str">
        <f>"StPo"</f>
        <v>StPo</v>
      </c>
      <c r="D22" t="s">
        <v>98</v>
      </c>
      <c r="J22" s="42">
        <f>ROUNDDOWN(IF(ISBLANK(VLOOKUP($C22,Eingaben!$D:$K,8,FALSE)),0,(J16-VLOOKUP($C22,Eingaben!$D:$K,8,FALSE))*J14),)</f>
        <v>0</v>
      </c>
      <c r="K22" t="s">
        <v>102</v>
      </c>
    </row>
    <row r="23" spans="3:11" x14ac:dyDescent="0.25">
      <c r="J23" s="19"/>
    </row>
    <row r="24" spans="3:11" x14ac:dyDescent="0.25">
      <c r="C24" t="s">
        <v>105</v>
      </c>
      <c r="D24" t="s">
        <v>457</v>
      </c>
      <c r="J24" s="42">
        <f>VLOOKUP($C24,Eingaben!$D:$K,8,FALSE)</f>
        <v>0</v>
      </c>
      <c r="K24" t="s">
        <v>106</v>
      </c>
    </row>
    <row r="25" spans="3:11" x14ac:dyDescent="0.25">
      <c r="J25" s="19"/>
    </row>
    <row r="26" spans="3:11" x14ac:dyDescent="0.25">
      <c r="C26" t="s">
        <v>453</v>
      </c>
      <c r="D26" t="s">
        <v>454</v>
      </c>
      <c r="J26" s="42">
        <f>VLOOKUP($C26,Eingaben!$D:$K,8,FALSE)</f>
        <v>0</v>
      </c>
      <c r="K26" t="s">
        <v>106</v>
      </c>
    </row>
    <row r="27" spans="3:11" x14ac:dyDescent="0.25">
      <c r="J27" s="19"/>
    </row>
    <row r="28" spans="3:11" x14ac:dyDescent="0.25">
      <c r="D28" t="s">
        <v>459</v>
      </c>
      <c r="J28" s="20">
        <f>J24+J26*J16</f>
        <v>0</v>
      </c>
      <c r="K28" t="s">
        <v>106</v>
      </c>
    </row>
    <row r="29" spans="3:11" x14ac:dyDescent="0.25">
      <c r="J29" s="19"/>
    </row>
    <row r="30" spans="3:11" x14ac:dyDescent="0.25">
      <c r="C30" t="str">
        <f>"KMo"</f>
        <v>KMo</v>
      </c>
      <c r="D30" t="s">
        <v>458</v>
      </c>
      <c r="J30" s="42">
        <f>VLOOKUP($C30,Eingaben!$D:$K,8,FALSE)</f>
        <v>0</v>
      </c>
      <c r="K30" t="s">
        <v>106</v>
      </c>
    </row>
    <row r="31" spans="3:11" x14ac:dyDescent="0.25">
      <c r="J31" s="19"/>
    </row>
    <row r="32" spans="3:11" x14ac:dyDescent="0.25">
      <c r="D32" t="s">
        <v>460</v>
      </c>
      <c r="J32" s="20">
        <f>IF(J30&gt;0,J30+J18*J26,J24+J18*J26)</f>
        <v>0</v>
      </c>
      <c r="K32" t="s">
        <v>106</v>
      </c>
    </row>
    <row r="33" spans="3:13" x14ac:dyDescent="0.25">
      <c r="J33" s="19"/>
    </row>
    <row r="34" spans="3:13" x14ac:dyDescent="0.25">
      <c r="C34" t="s">
        <v>321</v>
      </c>
      <c r="D34" t="s">
        <v>322</v>
      </c>
      <c r="J34" s="42">
        <f>VLOOKUP($C34,Eingaben!$D:$K,8,FALSE)</f>
        <v>0</v>
      </c>
      <c r="K34" t="s">
        <v>106</v>
      </c>
    </row>
    <row r="35" spans="3:13" x14ac:dyDescent="0.25">
      <c r="J35" s="19"/>
    </row>
    <row r="36" spans="3:13" x14ac:dyDescent="0.25">
      <c r="C36" t="str">
        <f>"IStP"</f>
        <v>IStP</v>
      </c>
      <c r="D36" t="s">
        <v>99</v>
      </c>
      <c r="J36" s="42">
        <f>VLOOKUP($C36,Eingaben!$D:$K,8,FALSE)</f>
        <v>0</v>
      </c>
      <c r="K36" t="s">
        <v>106</v>
      </c>
    </row>
    <row r="37" spans="3:13" x14ac:dyDescent="0.25">
      <c r="J37" s="19"/>
    </row>
    <row r="38" spans="3:13" x14ac:dyDescent="0.25">
      <c r="C38" t="str">
        <f>"NDStP"</f>
        <v>NDStP</v>
      </c>
      <c r="D38" t="s">
        <v>100</v>
      </c>
      <c r="J38" s="42">
        <f>VLOOKUP($C38,Eingaben!$D:$K,8,FALSE)</f>
        <v>0</v>
      </c>
      <c r="K38" t="s">
        <v>107</v>
      </c>
    </row>
    <row r="40" spans="3:13" x14ac:dyDescent="0.25">
      <c r="C40" t="s">
        <v>112</v>
      </c>
      <c r="D40" t="s">
        <v>113</v>
      </c>
      <c r="J40" s="42">
        <f>VLOOKUP($C40,Eingaben!$D:$K,8,FALSE)</f>
        <v>0</v>
      </c>
      <c r="K40" t="s">
        <v>114</v>
      </c>
    </row>
    <row r="42" spans="3:13" x14ac:dyDescent="0.25">
      <c r="C42" t="s">
        <v>325</v>
      </c>
      <c r="D42" t="s">
        <v>328</v>
      </c>
      <c r="J42" s="42">
        <f>VLOOKUP($C42,Eingaben!$D:$K,8,FALSE)</f>
        <v>0</v>
      </c>
      <c r="K42" t="s">
        <v>103</v>
      </c>
      <c r="M42" s="19"/>
    </row>
    <row r="43" spans="3:13" x14ac:dyDescent="0.25">
      <c r="J43" s="19"/>
    </row>
    <row r="44" spans="3:13" x14ac:dyDescent="0.25">
      <c r="C44" t="str">
        <f>"AblStP"</f>
        <v>AblStP</v>
      </c>
      <c r="D44" t="s">
        <v>120</v>
      </c>
      <c r="J44" s="42">
        <f>VLOOKUP($C44,Eingaben!$D:$K,8,FALSE)</f>
        <v>0</v>
      </c>
      <c r="K44" t="s">
        <v>106</v>
      </c>
    </row>
    <row r="47" spans="3:13" x14ac:dyDescent="0.25">
      <c r="D47" t="s">
        <v>108</v>
      </c>
      <c r="J47" s="19">
        <f>J14*J28</f>
        <v>0</v>
      </c>
    </row>
    <row r="48" spans="3:13" x14ac:dyDescent="0.25">
      <c r="D48" t="s">
        <v>109</v>
      </c>
      <c r="J48" s="19">
        <f>J14*J32</f>
        <v>0</v>
      </c>
      <c r="L48" t="s">
        <v>111</v>
      </c>
      <c r="M48" s="19" t="e">
        <f>J14*J16*J20/100*J26+IF(J30&gt;0,J14*(J24-J30),0)</f>
        <v>#DIV/0!</v>
      </c>
    </row>
    <row r="49" spans="4:10" x14ac:dyDescent="0.25">
      <c r="D49" t="s">
        <v>110</v>
      </c>
      <c r="J49" s="19">
        <f>J47-J48</f>
        <v>0</v>
      </c>
    </row>
    <row r="50" spans="4:10" x14ac:dyDescent="0.25">
      <c r="D50" t="s">
        <v>115</v>
      </c>
      <c r="J50" s="19">
        <f>PV(J40/100,J38,J49,,0)</f>
        <v>0</v>
      </c>
    </row>
    <row r="51" spans="4:10" x14ac:dyDescent="0.25">
      <c r="D51" t="s">
        <v>204</v>
      </c>
      <c r="J51" s="19">
        <f>-PV(J40/100,J38,J22*J34,,0)</f>
        <v>0</v>
      </c>
    </row>
    <row r="52" spans="4:10" x14ac:dyDescent="0.25">
      <c r="D52" t="s">
        <v>116</v>
      </c>
      <c r="J52" s="19">
        <f>J22*J36</f>
        <v>0</v>
      </c>
    </row>
    <row r="54" spans="4:10" x14ac:dyDescent="0.25">
      <c r="D54" t="s">
        <v>324</v>
      </c>
      <c r="J54" s="19">
        <f>-J22*J42/100*J44</f>
        <v>0</v>
      </c>
    </row>
  </sheetData>
  <mergeCells count="5">
    <mergeCell ref="F9:G9"/>
    <mergeCell ref="H9:I9"/>
    <mergeCell ref="J9:K9"/>
    <mergeCell ref="L9:M9"/>
    <mergeCell ref="N9:O9"/>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5"/>
  <sheetViews>
    <sheetView topLeftCell="C10"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23</v>
      </c>
    </row>
    <row r="4" spans="3:15" ht="15.75" x14ac:dyDescent="0.25">
      <c r="D4" s="18" t="s">
        <v>26</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65.25" thickTop="1" thickBot="1" x14ac:dyDescent="0.3">
      <c r="D11" s="2" t="s">
        <v>23</v>
      </c>
      <c r="E11" s="3" t="s">
        <v>33</v>
      </c>
      <c r="F11" s="24">
        <f>-J36+J42</f>
        <v>0</v>
      </c>
      <c r="G11" s="24">
        <f>J37</f>
        <v>0</v>
      </c>
      <c r="H11" s="9" t="s">
        <v>29</v>
      </c>
      <c r="I11" s="9" t="s">
        <v>29</v>
      </c>
      <c r="J11" s="9" t="s">
        <v>29</v>
      </c>
      <c r="K11" s="9" t="s">
        <v>29</v>
      </c>
      <c r="L11" s="9" t="s">
        <v>40</v>
      </c>
      <c r="M11" s="26">
        <f>-J42</f>
        <v>0</v>
      </c>
      <c r="N11" s="9" t="s">
        <v>29</v>
      </c>
      <c r="O11" s="9" t="s">
        <v>42</v>
      </c>
    </row>
    <row r="12" spans="3:15" ht="51.75" thickBot="1" x14ac:dyDescent="0.3">
      <c r="D12" s="22" t="s">
        <v>26</v>
      </c>
      <c r="E12" s="12" t="s">
        <v>43</v>
      </c>
      <c r="F12" s="25">
        <f>+J44</f>
        <v>0</v>
      </c>
      <c r="G12" s="23">
        <f>-J39</f>
        <v>0</v>
      </c>
      <c r="H12" s="10" t="s">
        <v>29</v>
      </c>
      <c r="I12" s="10" t="s">
        <v>39</v>
      </c>
      <c r="J12" s="10" t="s">
        <v>29</v>
      </c>
      <c r="K12" s="10" t="s">
        <v>29</v>
      </c>
      <c r="L12" s="25">
        <f>+J39</f>
        <v>0</v>
      </c>
      <c r="M12" s="27" t="s">
        <v>149</v>
      </c>
      <c r="N12" s="10" t="s">
        <v>29</v>
      </c>
      <c r="O12" s="10" t="s">
        <v>47</v>
      </c>
    </row>
    <row r="15" spans="3:15" x14ac:dyDescent="0.25">
      <c r="C15" t="str">
        <f>"StPo"</f>
        <v>StPo</v>
      </c>
      <c r="D15" t="s">
        <v>98</v>
      </c>
      <c r="J15" s="20">
        <f>VerzStPl!J22</f>
        <v>0</v>
      </c>
      <c r="K15" t="s">
        <v>102</v>
      </c>
    </row>
    <row r="17" spans="3:13" x14ac:dyDescent="0.25">
      <c r="C17" t="str">
        <f>"WESt"</f>
        <v>WESt</v>
      </c>
      <c r="D17" t="s">
        <v>128</v>
      </c>
      <c r="J17" s="42">
        <f>VLOOKUP($C17,Eingaben!$D:$K,8,FALSE)</f>
        <v>0</v>
      </c>
      <c r="K17" t="s">
        <v>103</v>
      </c>
      <c r="L17" t="s">
        <v>133</v>
      </c>
      <c r="M17" s="19" t="str">
        <f>IF(J17+GrünFl!J16+RadFl!J17=100,"OK","Prüfen!")</f>
        <v>Prüfen!</v>
      </c>
    </row>
    <row r="18" spans="3:13" x14ac:dyDescent="0.25">
      <c r="J18" s="19"/>
    </row>
    <row r="19" spans="3:13" x14ac:dyDescent="0.25">
      <c r="C19" t="s">
        <v>132</v>
      </c>
      <c r="D19" t="s">
        <v>131</v>
      </c>
      <c r="J19" s="42">
        <f>VLOOKUP($C19,Eingaben!$D:$K,8,FALSE)</f>
        <v>0</v>
      </c>
      <c r="K19" t="s">
        <v>164</v>
      </c>
    </row>
    <row r="20" spans="3:13" x14ac:dyDescent="0.25">
      <c r="J20" s="19"/>
    </row>
    <row r="21" spans="3:13" x14ac:dyDescent="0.25">
      <c r="C21" t="s">
        <v>129</v>
      </c>
      <c r="D21" t="s">
        <v>130</v>
      </c>
      <c r="J21" s="20">
        <f>ROUNDDOWN(IF(ISBLANK(VLOOKUP($C21,Eingaben!$D:$K,8,FALSE)),J15*J17*J19/100,VLOOKUP($C21,Eingaben!$D:$K,8,FALSE)),)</f>
        <v>0</v>
      </c>
    </row>
    <row r="22" spans="3:13" x14ac:dyDescent="0.25">
      <c r="J22" s="19"/>
    </row>
    <row r="23" spans="3:13" x14ac:dyDescent="0.25">
      <c r="C23" t="str">
        <f>"IWEn"</f>
        <v>IWEn</v>
      </c>
      <c r="D23" t="s">
        <v>134</v>
      </c>
      <c r="J23" s="42">
        <f>VLOOKUP($C23,Eingaben!$D:$K,8,FALSE)</f>
        <v>0</v>
      </c>
      <c r="K23" t="s">
        <v>106</v>
      </c>
    </row>
    <row r="24" spans="3:13" x14ac:dyDescent="0.25">
      <c r="J24" s="19"/>
    </row>
    <row r="25" spans="3:13" x14ac:dyDescent="0.25">
      <c r="C25" t="s">
        <v>135</v>
      </c>
      <c r="D25" t="s">
        <v>136</v>
      </c>
      <c r="J25" s="42">
        <f>VLOOKUP($C25,Eingaben!$D:$K,8,FALSE)</f>
        <v>0</v>
      </c>
      <c r="K25" t="s">
        <v>106</v>
      </c>
    </row>
    <row r="27" spans="3:13" x14ac:dyDescent="0.25">
      <c r="C27" t="str">
        <f>"KMn"</f>
        <v>KMn</v>
      </c>
      <c r="D27" t="s">
        <v>137</v>
      </c>
      <c r="J27" s="42">
        <f>VLOOKUP($C27,Eingaben!$D:$K,8,FALSE)</f>
        <v>0</v>
      </c>
      <c r="K27" t="s">
        <v>106</v>
      </c>
    </row>
    <row r="29" spans="3:13" x14ac:dyDescent="0.25">
      <c r="C29" t="str">
        <f>"NDWE"</f>
        <v>NDWE</v>
      </c>
      <c r="D29" t="s">
        <v>140</v>
      </c>
      <c r="J29" s="42">
        <f>VLOOKUP($C29,Eingaben!$D:$K,8,FALSE)</f>
        <v>0</v>
      </c>
      <c r="K29" t="s">
        <v>107</v>
      </c>
    </row>
    <row r="31" spans="3:13" x14ac:dyDescent="0.25">
      <c r="C31" t="s">
        <v>146</v>
      </c>
      <c r="D31" t="s">
        <v>145</v>
      </c>
      <c r="J31" s="42">
        <f>VLOOKUP($C31,Eingaben!$D:$K,8,FALSE)</f>
        <v>0</v>
      </c>
      <c r="K31" t="s">
        <v>147</v>
      </c>
    </row>
    <row r="33" spans="3:13" x14ac:dyDescent="0.25">
      <c r="C33" t="s">
        <v>112</v>
      </c>
      <c r="D33" t="s">
        <v>113</v>
      </c>
      <c r="J33" s="42">
        <f>VLOOKUP($C33,Eingaben!$D:$K,8,FALSE)</f>
        <v>0</v>
      </c>
      <c r="K33" t="s">
        <v>114</v>
      </c>
    </row>
    <row r="36" spans="3:13" x14ac:dyDescent="0.25">
      <c r="D36" t="s">
        <v>138</v>
      </c>
      <c r="J36" s="19">
        <f>J21*J23</f>
        <v>0</v>
      </c>
    </row>
    <row r="37" spans="3:13" x14ac:dyDescent="0.25">
      <c r="D37" t="s">
        <v>139</v>
      </c>
      <c r="J37" s="19">
        <f>(J25-J23)*VerzStPl!J14</f>
        <v>0</v>
      </c>
      <c r="M37" s="19"/>
    </row>
    <row r="38" spans="3:13" x14ac:dyDescent="0.25">
      <c r="D38" t="s">
        <v>126</v>
      </c>
      <c r="J38" s="19">
        <f>J21*IF(VerzStPl!J30&gt;0,VerzStPl!J30,VerzStPl!J24)</f>
        <v>0</v>
      </c>
    </row>
    <row r="39" spans="3:13" x14ac:dyDescent="0.25">
      <c r="D39" t="s">
        <v>141</v>
      </c>
      <c r="J39" s="19">
        <f>PV(J33/100,J29,J38,,0)</f>
        <v>0</v>
      </c>
    </row>
    <row r="40" spans="3:13" x14ac:dyDescent="0.25">
      <c r="D40" t="s">
        <v>142</v>
      </c>
      <c r="J40" s="19">
        <f>(VerzStPl!J14*WohnFl!J25)-(VerzStPl!J14*WohnFl!J23)</f>
        <v>0</v>
      </c>
    </row>
    <row r="41" spans="3:13" x14ac:dyDescent="0.25">
      <c r="D41" t="s">
        <v>143</v>
      </c>
      <c r="J41" s="19">
        <f>(VerzStPl!J14)*WohnFl!J27</f>
        <v>0</v>
      </c>
    </row>
    <row r="42" spans="3:13" x14ac:dyDescent="0.25">
      <c r="D42" t="s">
        <v>144</v>
      </c>
      <c r="J42" s="19">
        <f>PV(J33/100,J29,J41,,0)</f>
        <v>0</v>
      </c>
    </row>
    <row r="43" spans="3:13" x14ac:dyDescent="0.25">
      <c r="D43" t="s">
        <v>148</v>
      </c>
      <c r="J43" s="19">
        <f>J21*J31</f>
        <v>0</v>
      </c>
    </row>
    <row r="44" spans="3:13" x14ac:dyDescent="0.25">
      <c r="D44" t="s">
        <v>124</v>
      </c>
      <c r="J44" s="19">
        <f>PV(J33/100,J29,J43,,0)</f>
        <v>0</v>
      </c>
    </row>
    <row r="45" spans="3:13" x14ac:dyDescent="0.25">
      <c r="J45" s="19"/>
    </row>
  </sheetData>
  <mergeCells count="5">
    <mergeCell ref="F9:G9"/>
    <mergeCell ref="H9:I9"/>
    <mergeCell ref="J9:K9"/>
    <mergeCell ref="L9:M9"/>
    <mergeCell ref="N9:O9"/>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38"/>
  <sheetViews>
    <sheetView topLeftCell="C9" zoomScale="90" zoomScaleNormal="90"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31</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51.75" thickBot="1" x14ac:dyDescent="0.3">
      <c r="D11" s="22" t="s">
        <v>31</v>
      </c>
      <c r="E11" s="5" t="s">
        <v>32</v>
      </c>
      <c r="F11" s="25">
        <f>J33+J34</f>
        <v>0</v>
      </c>
      <c r="G11" s="25">
        <f>-J36</f>
        <v>0</v>
      </c>
      <c r="H11" s="10" t="s">
        <v>29</v>
      </c>
      <c r="I11" s="10" t="s">
        <v>37</v>
      </c>
      <c r="J11" s="10" t="s">
        <v>29</v>
      </c>
      <c r="K11" s="10" t="s">
        <v>29</v>
      </c>
      <c r="L11" s="25">
        <f>J36</f>
        <v>0</v>
      </c>
      <c r="M11" s="10" t="s">
        <v>36</v>
      </c>
      <c r="N11" s="10" t="s">
        <v>29</v>
      </c>
      <c r="O11" s="10" t="s">
        <v>38</v>
      </c>
    </row>
    <row r="14" spans="3:15" x14ac:dyDescent="0.25">
      <c r="C14" t="str">
        <f>"StPo"</f>
        <v>StPo</v>
      </c>
      <c r="D14" t="s">
        <v>98</v>
      </c>
      <c r="J14" s="20">
        <f>VerzStPl!J22</f>
        <v>0</v>
      </c>
      <c r="K14" t="s">
        <v>102</v>
      </c>
    </row>
    <row r="16" spans="3:15" x14ac:dyDescent="0.25">
      <c r="C16" t="str">
        <f>"GrSt"</f>
        <v>GrSt</v>
      </c>
      <c r="D16" t="s">
        <v>119</v>
      </c>
      <c r="J16" s="42">
        <f>VLOOKUP($C16,Eingaben!$D:$K,8,FALSE)</f>
        <v>0</v>
      </c>
      <c r="K16" t="s">
        <v>103</v>
      </c>
      <c r="L16" t="s">
        <v>133</v>
      </c>
      <c r="M16" s="19" t="str">
        <f>IF(J16+WohnFl!J17+RadFl!J17=100,"OK","Prüfen!")</f>
        <v>Prüfen!</v>
      </c>
    </row>
    <row r="17" spans="3:11" x14ac:dyDescent="0.25">
      <c r="J17" s="19"/>
    </row>
    <row r="18" spans="3:11" x14ac:dyDescent="0.25">
      <c r="C18" t="str">
        <f>"FSt"</f>
        <v>FSt</v>
      </c>
      <c r="D18" t="s">
        <v>117</v>
      </c>
      <c r="J18" s="42">
        <f>VLOOKUP($C18,Eingaben!$D:$K,8,FALSE)</f>
        <v>0</v>
      </c>
      <c r="K18" t="s">
        <v>118</v>
      </c>
    </row>
    <row r="19" spans="3:11" x14ac:dyDescent="0.25">
      <c r="J19" s="19"/>
    </row>
    <row r="20" spans="3:11" x14ac:dyDescent="0.25">
      <c r="C20" t="s">
        <v>334</v>
      </c>
      <c r="D20" t="s">
        <v>333</v>
      </c>
      <c r="J20" s="20">
        <f>ROUNDDOWN(IF(ISBLANK(VLOOKUP($C20,Eingaben!$D:$K,8,FALSE)),J14*J16*J18/100,VLOOKUP($C20,Eingaben!$D:$K,8,FALSE)),)</f>
        <v>0</v>
      </c>
      <c r="K20" t="s">
        <v>118</v>
      </c>
    </row>
    <row r="21" spans="3:11" x14ac:dyDescent="0.25">
      <c r="J21" s="19"/>
    </row>
    <row r="22" spans="3:11" x14ac:dyDescent="0.25">
      <c r="C22" t="str">
        <f>"lKoGr"</f>
        <v>lKoGr</v>
      </c>
      <c r="D22" t="s">
        <v>121</v>
      </c>
      <c r="J22" s="42">
        <f>VLOOKUP($C22,Eingaben!$D:$K,8,FALSE)</f>
        <v>0</v>
      </c>
      <c r="K22" t="s">
        <v>106</v>
      </c>
    </row>
    <row r="23" spans="3:11" x14ac:dyDescent="0.25">
      <c r="J23" s="19"/>
    </row>
    <row r="24" spans="3:11" x14ac:dyDescent="0.25">
      <c r="C24" t="str">
        <f>"IGr"</f>
        <v>IGr</v>
      </c>
      <c r="D24" t="s">
        <v>120</v>
      </c>
      <c r="J24" s="42">
        <f>VLOOKUP($C24,Eingaben!$D:$K,8,FALSE)</f>
        <v>0</v>
      </c>
      <c r="K24" t="s">
        <v>106</v>
      </c>
    </row>
    <row r="25" spans="3:11" x14ac:dyDescent="0.25">
      <c r="J25" s="19"/>
    </row>
    <row r="26" spans="3:11" x14ac:dyDescent="0.25">
      <c r="C26" t="str">
        <f>"NDGr"</f>
        <v>NDGr</v>
      </c>
      <c r="D26" t="s">
        <v>122</v>
      </c>
      <c r="J26" s="42">
        <f>VLOOKUP($C26,Eingaben!$D:$K,8,FALSE)</f>
        <v>0</v>
      </c>
      <c r="K26" t="s">
        <v>107</v>
      </c>
    </row>
    <row r="28" spans="3:11" x14ac:dyDescent="0.25">
      <c r="C28" t="str">
        <f>"KMGr"</f>
        <v>KMGr</v>
      </c>
      <c r="D28" t="s">
        <v>125</v>
      </c>
      <c r="J28" s="42">
        <f>VLOOKUP($C28,Eingaben!$D:$K,8,FALSE)</f>
        <v>0</v>
      </c>
      <c r="K28" t="s">
        <v>106</v>
      </c>
    </row>
    <row r="30" spans="3:11" x14ac:dyDescent="0.25">
      <c r="C30" t="s">
        <v>112</v>
      </c>
      <c r="D30" t="s">
        <v>113</v>
      </c>
      <c r="J30" s="42">
        <f>VLOOKUP($C30,Eingaben!$D:$K,8,FALSE)</f>
        <v>0</v>
      </c>
      <c r="K30" t="s">
        <v>114</v>
      </c>
    </row>
    <row r="33" spans="4:13" x14ac:dyDescent="0.25">
      <c r="D33" t="s">
        <v>123</v>
      </c>
      <c r="J33" s="19">
        <f>-J20*J24</f>
        <v>0</v>
      </c>
    </row>
    <row r="34" spans="4:13" x14ac:dyDescent="0.25">
      <c r="D34" t="s">
        <v>124</v>
      </c>
      <c r="J34" s="19">
        <f>-PV(J30/100,J26,J20*J22,,0)</f>
        <v>0</v>
      </c>
      <c r="L34" t="s">
        <v>111</v>
      </c>
      <c r="M34" s="19" t="e">
        <f>J16*J22/100*(#REF!-#REF!)</f>
        <v>#REF!</v>
      </c>
    </row>
    <row r="35" spans="4:13" x14ac:dyDescent="0.25">
      <c r="D35" t="s">
        <v>126</v>
      </c>
      <c r="J35" s="19">
        <f>(VerzStPl!J14+WohnFl!J21)*GrünFl!J28</f>
        <v>0</v>
      </c>
    </row>
    <row r="36" spans="4:13" x14ac:dyDescent="0.25">
      <c r="D36" t="s">
        <v>127</v>
      </c>
      <c r="J36" s="19">
        <f>PV(J30/100,J26,J35,,0)</f>
        <v>0</v>
      </c>
    </row>
    <row r="38" spans="4:13" x14ac:dyDescent="0.25">
      <c r="J38" s="21"/>
    </row>
  </sheetData>
  <mergeCells count="5">
    <mergeCell ref="F9:G9"/>
    <mergeCell ref="H9:I9"/>
    <mergeCell ref="J9:K9"/>
    <mergeCell ref="L9:M9"/>
    <mergeCell ref="N9:O9"/>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39"/>
  <sheetViews>
    <sheetView topLeftCell="C11" workbookViewId="0">
      <selection activeCell="J32" sqref="J32"/>
    </sheetView>
  </sheetViews>
  <sheetFormatPr baseColWidth="10" defaultRowHeight="15" x14ac:dyDescent="0.25"/>
  <cols>
    <col min="4" max="4" width="31.140625" customWidth="1"/>
    <col min="5" max="15" width="18.5703125" customWidth="1"/>
  </cols>
  <sheetData>
    <row r="3" spans="3:15" ht="15.75" x14ac:dyDescent="0.25">
      <c r="D3" s="18" t="s">
        <v>154</v>
      </c>
    </row>
    <row r="4" spans="3:15" ht="15.75" x14ac:dyDescent="0.25">
      <c r="D4" s="18" t="s">
        <v>155</v>
      </c>
    </row>
    <row r="8" spans="3:15" ht="15.75" thickBot="1" x14ac:dyDescent="0.3"/>
    <row r="9" spans="3:15" ht="16.5" thickBot="1" x14ac:dyDescent="0.3">
      <c r="D9" s="1" t="s">
        <v>0</v>
      </c>
      <c r="E9" s="1" t="s">
        <v>1</v>
      </c>
      <c r="F9" s="65" t="s">
        <v>12</v>
      </c>
      <c r="G9" s="66"/>
      <c r="H9" s="65" t="s">
        <v>2</v>
      </c>
      <c r="I9" s="66"/>
      <c r="J9" s="65" t="s">
        <v>13</v>
      </c>
      <c r="K9" s="66"/>
      <c r="L9" s="65" t="s">
        <v>3</v>
      </c>
      <c r="M9" s="66"/>
      <c r="N9" s="67" t="s">
        <v>92</v>
      </c>
      <c r="O9" s="66"/>
    </row>
    <row r="10" spans="3:15" ht="17.25" thickTop="1" thickBot="1" x14ac:dyDescent="0.3">
      <c r="D10" s="7"/>
      <c r="E10" s="7"/>
      <c r="F10" s="8" t="s">
        <v>27</v>
      </c>
      <c r="G10" s="8" t="s">
        <v>28</v>
      </c>
      <c r="H10" s="8" t="s">
        <v>27</v>
      </c>
      <c r="I10" s="8" t="s">
        <v>28</v>
      </c>
      <c r="J10" s="8" t="s">
        <v>27</v>
      </c>
      <c r="K10" s="8" t="s">
        <v>28</v>
      </c>
      <c r="L10" s="8" t="s">
        <v>27</v>
      </c>
      <c r="M10" s="8" t="s">
        <v>28</v>
      </c>
      <c r="N10" s="8" t="s">
        <v>27</v>
      </c>
      <c r="O10" s="8" t="s">
        <v>28</v>
      </c>
    </row>
    <row r="11" spans="3:15" ht="78" thickTop="1" thickBot="1" x14ac:dyDescent="0.3">
      <c r="D11" s="28" t="s">
        <v>154</v>
      </c>
      <c r="E11" s="3" t="s">
        <v>21</v>
      </c>
      <c r="F11" s="24">
        <f>-J34</f>
        <v>0</v>
      </c>
      <c r="G11" s="24">
        <f>-J36</f>
        <v>0</v>
      </c>
      <c r="H11" s="9" t="s">
        <v>29</v>
      </c>
      <c r="I11" s="9" t="s">
        <v>29</v>
      </c>
      <c r="J11" s="9" t="s">
        <v>29</v>
      </c>
      <c r="K11" s="9" t="s">
        <v>29</v>
      </c>
      <c r="L11" s="24">
        <f>+J36</f>
        <v>0</v>
      </c>
      <c r="M11" s="9" t="s">
        <v>78</v>
      </c>
      <c r="N11" s="9" t="s">
        <v>51</v>
      </c>
      <c r="O11" s="9" t="s">
        <v>42</v>
      </c>
    </row>
    <row r="12" spans="3:15" ht="51.75" thickBot="1" x14ac:dyDescent="0.3">
      <c r="D12" s="22" t="s">
        <v>155</v>
      </c>
      <c r="E12" s="12" t="s">
        <v>43</v>
      </c>
      <c r="F12" s="25">
        <f>+J38</f>
        <v>0</v>
      </c>
      <c r="G12" s="10" t="s">
        <v>29</v>
      </c>
      <c r="H12" s="10" t="s">
        <v>29</v>
      </c>
      <c r="I12" s="10" t="s">
        <v>29</v>
      </c>
      <c r="J12" s="10" t="s">
        <v>29</v>
      </c>
      <c r="K12" s="10" t="s">
        <v>29</v>
      </c>
      <c r="L12" s="10" t="s">
        <v>29</v>
      </c>
      <c r="M12" s="10" t="s">
        <v>77</v>
      </c>
      <c r="N12" s="10" t="s">
        <v>29</v>
      </c>
      <c r="O12" s="10" t="s">
        <v>52</v>
      </c>
    </row>
    <row r="15" spans="3:15" x14ac:dyDescent="0.25">
      <c r="C15" t="str">
        <f>"StPo"</f>
        <v>StPo</v>
      </c>
      <c r="D15" t="s">
        <v>98</v>
      </c>
      <c r="J15" s="20">
        <f>VerzStPl!J22</f>
        <v>0</v>
      </c>
      <c r="K15" t="s">
        <v>102</v>
      </c>
    </row>
    <row r="17" spans="3:13" x14ac:dyDescent="0.25">
      <c r="C17" t="str">
        <f>"RaSt"</f>
        <v>RaSt</v>
      </c>
      <c r="D17" t="s">
        <v>161</v>
      </c>
      <c r="J17" s="42">
        <f>VLOOKUP($C17,Eingaben!$D:$K,8,FALSE)</f>
        <v>0</v>
      </c>
      <c r="K17" t="s">
        <v>103</v>
      </c>
      <c r="L17" t="s">
        <v>133</v>
      </c>
      <c r="M17" s="19" t="str">
        <f>IF(J17+GrünFl!J16+WohnFl!J17=100,"OK","Prüfen!")</f>
        <v>Prüfen!</v>
      </c>
    </row>
    <row r="18" spans="3:13" x14ac:dyDescent="0.25">
      <c r="J18" s="19"/>
    </row>
    <row r="19" spans="3:13" x14ac:dyDescent="0.25">
      <c r="C19" t="str">
        <f>"QRa"</f>
        <v>QRa</v>
      </c>
      <c r="D19" t="s">
        <v>162</v>
      </c>
      <c r="J19" s="53">
        <f>VLOOKUP($C19,Eingaben!$D:$K,8,FALSE)</f>
        <v>0</v>
      </c>
      <c r="K19" t="s">
        <v>163</v>
      </c>
    </row>
    <row r="20" spans="3:13" x14ac:dyDescent="0.25">
      <c r="J20" s="19"/>
    </row>
    <row r="21" spans="3:13" x14ac:dyDescent="0.25">
      <c r="C21" t="str">
        <f>"ZRa"</f>
        <v>ZRa</v>
      </c>
      <c r="D21" t="s">
        <v>165</v>
      </c>
      <c r="J21" s="20">
        <f>ROUNDDOWN(IF(ISBLANK(VLOOKUP($C21,Eingaben!$D:$K,8,FALSE)),J15*J17*J19/100,VLOOKUP($C21,Eingaben!$D:$K,8,FALSE)),)</f>
        <v>0</v>
      </c>
    </row>
    <row r="22" spans="3:13" x14ac:dyDescent="0.25">
      <c r="J22" s="19"/>
    </row>
    <row r="23" spans="3:13" x14ac:dyDescent="0.25">
      <c r="C23" t="str">
        <f>"IRa"</f>
        <v>IRa</v>
      </c>
      <c r="D23" t="s">
        <v>166</v>
      </c>
      <c r="J23" s="42">
        <f>VLOOKUP($C23,Eingaben!$D:$K,8,FALSE)</f>
        <v>0</v>
      </c>
      <c r="K23" t="s">
        <v>106</v>
      </c>
    </row>
    <row r="24" spans="3:13" x14ac:dyDescent="0.25">
      <c r="J24" s="19"/>
    </row>
    <row r="25" spans="3:13" x14ac:dyDescent="0.25">
      <c r="C25" t="str">
        <f>"KMRa"</f>
        <v>KMRa</v>
      </c>
      <c r="D25" t="s">
        <v>125</v>
      </c>
      <c r="J25" s="42">
        <f>VLOOKUP($C25,Eingaben!$D:$K,8,FALSE)</f>
        <v>0</v>
      </c>
      <c r="K25" t="s">
        <v>106</v>
      </c>
    </row>
    <row r="27" spans="3:13" x14ac:dyDescent="0.25">
      <c r="C27" t="str">
        <f>"NDRa"</f>
        <v>NDRa</v>
      </c>
      <c r="D27" t="s">
        <v>167</v>
      </c>
      <c r="J27" s="42">
        <f>VLOOKUP($C27,Eingaben!$D:$K,8,FALSE)</f>
        <v>0</v>
      </c>
      <c r="K27" t="s">
        <v>107</v>
      </c>
    </row>
    <row r="29" spans="3:13" x14ac:dyDescent="0.25">
      <c r="C29" t="s">
        <v>168</v>
      </c>
      <c r="D29" t="s">
        <v>169</v>
      </c>
      <c r="J29" s="42">
        <f>VLOOKUP($C29,Eingaben!$D:$K,8,FALSE)</f>
        <v>0</v>
      </c>
      <c r="K29" t="s">
        <v>170</v>
      </c>
    </row>
    <row r="31" spans="3:13" x14ac:dyDescent="0.25">
      <c r="C31" t="s">
        <v>112</v>
      </c>
      <c r="D31" t="s">
        <v>113</v>
      </c>
      <c r="J31" s="42">
        <f>VLOOKUP($C31,Eingaben!$D:$K,8,FALSE)</f>
        <v>0</v>
      </c>
      <c r="K31" t="s">
        <v>114</v>
      </c>
    </row>
    <row r="34" spans="4:10" x14ac:dyDescent="0.25">
      <c r="D34" t="s">
        <v>171</v>
      </c>
      <c r="J34" s="19">
        <f>J21*J23</f>
        <v>0</v>
      </c>
    </row>
    <row r="35" spans="4:10" x14ac:dyDescent="0.25">
      <c r="D35" t="s">
        <v>126</v>
      </c>
      <c r="J35" s="19">
        <f>J25*(WohnFl!J21+VerzStPl!J14)</f>
        <v>0</v>
      </c>
    </row>
    <row r="36" spans="4:10" x14ac:dyDescent="0.25">
      <c r="D36" t="s">
        <v>141</v>
      </c>
      <c r="J36" s="19">
        <f>PV(J31/100,J27,J35,,0)</f>
        <v>0</v>
      </c>
    </row>
    <row r="37" spans="4:10" x14ac:dyDescent="0.25">
      <c r="D37" t="s">
        <v>172</v>
      </c>
      <c r="J37" s="19">
        <f>J21*J29</f>
        <v>0</v>
      </c>
    </row>
    <row r="38" spans="4:10" x14ac:dyDescent="0.25">
      <c r="D38" t="s">
        <v>124</v>
      </c>
      <c r="J38" s="19">
        <f>PV(J31/100,J27,J37,,0)</f>
        <v>0</v>
      </c>
    </row>
    <row r="39" spans="4:10" x14ac:dyDescent="0.25">
      <c r="J39" s="19"/>
    </row>
  </sheetData>
  <mergeCells count="5">
    <mergeCell ref="F9:G9"/>
    <mergeCell ref="H9:I9"/>
    <mergeCell ref="J9:K9"/>
    <mergeCell ref="L9:M9"/>
    <mergeCell ref="N9:O9"/>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8</vt:i4>
      </vt:variant>
    </vt:vector>
  </HeadingPairs>
  <TitlesOfParts>
    <vt:vector size="26" baseType="lpstr">
      <vt:lpstr>Mobilität im Quartier</vt:lpstr>
      <vt:lpstr>Eingaben</vt:lpstr>
      <vt:lpstr>K-N-Ergebnis</vt:lpstr>
      <vt:lpstr>K-N-Matrix</vt:lpstr>
      <vt:lpstr>K-N-Werte</vt:lpstr>
      <vt:lpstr>VerzStPl</vt:lpstr>
      <vt:lpstr>WohnFl</vt:lpstr>
      <vt:lpstr>GrünFl</vt:lpstr>
      <vt:lpstr>RadFl</vt:lpstr>
      <vt:lpstr>StraFl</vt:lpstr>
      <vt:lpstr>AbPkw</vt:lpstr>
      <vt:lpstr>ÖVInf</vt:lpstr>
      <vt:lpstr>Tickets</vt:lpstr>
      <vt:lpstr>CarS</vt:lpstr>
      <vt:lpstr>BikeS</vt:lpstr>
      <vt:lpstr>CargoS</vt:lpstr>
      <vt:lpstr>ELade</vt:lpstr>
      <vt:lpstr>Konzept</vt:lpstr>
      <vt:lpstr>Eingaben!Druckbereich</vt:lpstr>
      <vt:lpstr>'K-N-Ergebnis'!Druckbereich</vt:lpstr>
      <vt:lpstr>'K-N-Matrix'!Druckbereich</vt:lpstr>
      <vt:lpstr>'K-N-Werte'!Druckbereich</vt:lpstr>
      <vt:lpstr>'Mobilität im Quartier'!Druckbereich</vt:lpstr>
      <vt:lpstr>'K-N-Ergebnis'!Drucktitel</vt:lpstr>
      <vt:lpstr>'K-N-Matrix'!Drucktitel</vt:lpstr>
      <vt:lpstr>'K-N-Werte'!Drucktitel</vt:lpstr>
    </vt:vector>
  </TitlesOfParts>
  <Company>difu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dc:creator>
  <cp:lastModifiedBy>Jürgen Gies</cp:lastModifiedBy>
  <cp:lastPrinted>2021-03-25T10:37:24Z</cp:lastPrinted>
  <dcterms:created xsi:type="dcterms:W3CDTF">2020-10-07T09:02:51Z</dcterms:created>
  <dcterms:modified xsi:type="dcterms:W3CDTF">2022-04-06T14:11:41Z</dcterms:modified>
</cp:coreProperties>
</file>